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3ec2eae93e3929/Documents/"/>
    </mc:Choice>
  </mc:AlternateContent>
  <xr:revisionPtr revIDLastSave="1190" documentId="8_{A92EBC1E-20FA-436C-A6E5-9993C0A41065}" xr6:coauthVersionLast="47" xr6:coauthVersionMax="47" xr10:uidLastSave="{134864ED-F19C-4FD8-B933-0DE589B6D84C}"/>
  <bookViews>
    <workbookView xWindow="38280" yWindow="-3225" windowWidth="19440" windowHeight="15150" xr2:uid="{39887593-0C9A-4774-B895-4BDE7C36C494}"/>
  </bookViews>
  <sheets>
    <sheet name="Conso Mission FA18-C" sheetId="1" r:id="rId1"/>
    <sheet name="Mesure prot2" sheetId="3" r:id="rId2"/>
    <sheet name="Mesure cons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16" i="1"/>
  <c r="I14" i="1"/>
  <c r="I27" i="1"/>
  <c r="I25" i="1" s="1"/>
  <c r="I3" i="1"/>
  <c r="I6" i="1" s="1"/>
  <c r="I13" i="1"/>
  <c r="I4" i="1"/>
  <c r="I5" i="1" s="1"/>
  <c r="I20" i="1" s="1"/>
  <c r="I21" i="1" s="1"/>
  <c r="X39" i="3"/>
  <c r="W39" i="3"/>
  <c r="W40" i="3"/>
  <c r="W38" i="3"/>
  <c r="W34" i="3"/>
  <c r="W35" i="3"/>
  <c r="W33" i="3"/>
  <c r="W27" i="3"/>
  <c r="W28" i="3"/>
  <c r="W26" i="3"/>
  <c r="W20" i="3"/>
  <c r="W21" i="3"/>
  <c r="W19" i="3"/>
  <c r="R37" i="3"/>
  <c r="R38" i="3"/>
  <c r="R39" i="3"/>
  <c r="R40" i="3"/>
  <c r="R36" i="3"/>
  <c r="R28" i="3"/>
  <c r="R29" i="3"/>
  <c r="R30" i="3"/>
  <c r="R31" i="3"/>
  <c r="R27" i="3"/>
  <c r="R19" i="3"/>
  <c r="R20" i="3"/>
  <c r="R21" i="3"/>
  <c r="R22" i="3"/>
  <c r="R18" i="3"/>
  <c r="R14" i="3"/>
  <c r="Q14" i="3"/>
  <c r="R13" i="3"/>
  <c r="Q13" i="3"/>
  <c r="R6" i="3"/>
  <c r="Q6" i="3"/>
  <c r="M160" i="3"/>
  <c r="L160" i="3"/>
  <c r="M159" i="3"/>
  <c r="L159" i="3"/>
  <c r="M157" i="3"/>
  <c r="L157" i="3"/>
  <c r="M156" i="3"/>
  <c r="L156" i="3"/>
  <c r="M154" i="3"/>
  <c r="L154" i="3"/>
  <c r="M153" i="3"/>
  <c r="L153" i="3"/>
  <c r="F160" i="3"/>
  <c r="E160" i="3"/>
  <c r="F159" i="3"/>
  <c r="E159" i="3"/>
  <c r="F157" i="3"/>
  <c r="E157" i="3"/>
  <c r="F156" i="3"/>
  <c r="E156" i="3"/>
  <c r="F154" i="3"/>
  <c r="E154" i="3"/>
  <c r="F153" i="3"/>
  <c r="E153" i="3"/>
  <c r="M123" i="3"/>
  <c r="L123" i="3"/>
  <c r="M122" i="3"/>
  <c r="L122" i="3"/>
  <c r="M120" i="3"/>
  <c r="L120" i="3"/>
  <c r="M119" i="3"/>
  <c r="L119" i="3"/>
  <c r="M117" i="3"/>
  <c r="L117" i="3"/>
  <c r="M116" i="3"/>
  <c r="L116" i="3"/>
  <c r="F123" i="3"/>
  <c r="E123" i="3"/>
  <c r="F122" i="3"/>
  <c r="E122" i="3"/>
  <c r="F120" i="3"/>
  <c r="E120" i="3"/>
  <c r="F119" i="3"/>
  <c r="E119" i="3"/>
  <c r="F117" i="3"/>
  <c r="E117" i="3"/>
  <c r="F116" i="3"/>
  <c r="E116" i="3"/>
  <c r="M85" i="3"/>
  <c r="L85" i="3"/>
  <c r="M84" i="3"/>
  <c r="L84" i="3"/>
  <c r="M82" i="3"/>
  <c r="L82" i="3"/>
  <c r="M81" i="3"/>
  <c r="L81" i="3"/>
  <c r="M79" i="3"/>
  <c r="L79" i="3"/>
  <c r="M78" i="3"/>
  <c r="L78" i="3"/>
  <c r="F85" i="3"/>
  <c r="E85" i="3"/>
  <c r="F84" i="3"/>
  <c r="E84" i="3"/>
  <c r="F82" i="3"/>
  <c r="E82" i="3"/>
  <c r="F81" i="3"/>
  <c r="E81" i="3"/>
  <c r="F79" i="3"/>
  <c r="E79" i="3"/>
  <c r="F78" i="3"/>
  <c r="E78" i="3"/>
  <c r="M48" i="3"/>
  <c r="L48" i="3"/>
  <c r="M47" i="3"/>
  <c r="L47" i="3"/>
  <c r="M45" i="3"/>
  <c r="L45" i="3"/>
  <c r="M44" i="3"/>
  <c r="L44" i="3"/>
  <c r="M42" i="3"/>
  <c r="L42" i="3"/>
  <c r="M41" i="3"/>
  <c r="L41" i="3"/>
  <c r="F48" i="3"/>
  <c r="E48" i="3"/>
  <c r="F47" i="3"/>
  <c r="E47" i="3"/>
  <c r="F45" i="3"/>
  <c r="E45" i="3"/>
  <c r="F44" i="3"/>
  <c r="E44" i="3"/>
  <c r="F42" i="3"/>
  <c r="E42" i="3"/>
  <c r="F41" i="3"/>
  <c r="E41" i="3"/>
  <c r="M11" i="3"/>
  <c r="L11" i="3"/>
  <c r="M10" i="3"/>
  <c r="L10" i="3"/>
  <c r="M8" i="3"/>
  <c r="L8" i="3"/>
  <c r="M7" i="3"/>
  <c r="L7" i="3"/>
  <c r="M5" i="3"/>
  <c r="L5" i="3"/>
  <c r="M4" i="3"/>
  <c r="L4" i="3"/>
  <c r="F11" i="3"/>
  <c r="E11" i="3"/>
  <c r="F10" i="3"/>
  <c r="E10" i="3"/>
  <c r="F8" i="3"/>
  <c r="E8" i="3"/>
  <c r="F7" i="3"/>
  <c r="E7" i="3"/>
  <c r="F5" i="3"/>
  <c r="F4" i="3"/>
  <c r="E5" i="3"/>
  <c r="E4" i="3"/>
  <c r="V8" i="2"/>
  <c r="T8" i="2"/>
  <c r="L68" i="2"/>
  <c r="L65" i="2"/>
  <c r="L37" i="2"/>
  <c r="L34" i="2"/>
  <c r="L3" i="2"/>
  <c r="J6" i="2"/>
  <c r="J92" i="2"/>
  <c r="J86" i="2"/>
  <c r="J80" i="2"/>
  <c r="J74" i="2"/>
  <c r="J68" i="2"/>
  <c r="J61" i="2"/>
  <c r="J55" i="2"/>
  <c r="J49" i="2"/>
  <c r="J43" i="2"/>
  <c r="J37" i="2"/>
  <c r="I92" i="2"/>
  <c r="H92" i="2"/>
  <c r="G92" i="2"/>
  <c r="I86" i="2"/>
  <c r="H86" i="2"/>
  <c r="G86" i="2"/>
  <c r="I80" i="2"/>
  <c r="H80" i="2"/>
  <c r="G80" i="2"/>
  <c r="I74" i="2"/>
  <c r="H74" i="2"/>
  <c r="G74" i="2"/>
  <c r="I61" i="2"/>
  <c r="H61" i="2"/>
  <c r="G61" i="2"/>
  <c r="I55" i="2"/>
  <c r="H55" i="2"/>
  <c r="G55" i="2"/>
  <c r="I49" i="2"/>
  <c r="H49" i="2"/>
  <c r="G49" i="2"/>
  <c r="I43" i="2"/>
  <c r="H43" i="2"/>
  <c r="G43" i="2"/>
  <c r="J30" i="2"/>
  <c r="J24" i="2"/>
  <c r="L6" i="2" s="1"/>
  <c r="J18" i="2"/>
  <c r="J12" i="2"/>
  <c r="I30" i="2"/>
  <c r="I24" i="2"/>
  <c r="I18" i="2"/>
  <c r="I12" i="2"/>
  <c r="H30" i="2"/>
  <c r="H24" i="2"/>
  <c r="H18" i="2"/>
  <c r="H12" i="2"/>
  <c r="G30" i="2"/>
  <c r="G24" i="2"/>
  <c r="G18" i="2"/>
  <c r="G12" i="2"/>
  <c r="E92" i="2"/>
  <c r="D92" i="2"/>
  <c r="C92" i="2"/>
  <c r="B92" i="2"/>
  <c r="E86" i="2"/>
  <c r="D86" i="2"/>
  <c r="B86" i="2"/>
  <c r="E80" i="2"/>
  <c r="D80" i="2"/>
  <c r="C80" i="2"/>
  <c r="B80" i="2"/>
  <c r="E74" i="2"/>
  <c r="D74" i="2"/>
  <c r="C74" i="2"/>
  <c r="B74" i="2"/>
  <c r="E68" i="2"/>
  <c r="D68" i="2"/>
  <c r="C68" i="2"/>
  <c r="B68" i="2"/>
  <c r="E61" i="2"/>
  <c r="D61" i="2"/>
  <c r="C61" i="2"/>
  <c r="B61" i="2"/>
  <c r="E55" i="2"/>
  <c r="D55" i="2"/>
  <c r="C55" i="2"/>
  <c r="B55" i="2"/>
  <c r="E49" i="2"/>
  <c r="D49" i="2"/>
  <c r="C49" i="2"/>
  <c r="B49" i="2"/>
  <c r="E43" i="2"/>
  <c r="D43" i="2"/>
  <c r="C43" i="2"/>
  <c r="B43" i="2"/>
  <c r="E37" i="2"/>
  <c r="D37" i="2"/>
  <c r="C37" i="2"/>
  <c r="B37" i="2"/>
  <c r="E30" i="2"/>
  <c r="D30" i="2"/>
  <c r="C30" i="2"/>
  <c r="B30" i="2"/>
  <c r="E24" i="2"/>
  <c r="C24" i="2"/>
  <c r="B24" i="2"/>
  <c r="E18" i="2"/>
  <c r="D18" i="2"/>
  <c r="C18" i="2"/>
  <c r="B18" i="2"/>
  <c r="B12" i="2"/>
  <c r="E12" i="2"/>
  <c r="D12" i="2"/>
  <c r="C12" i="2"/>
  <c r="C6" i="2"/>
  <c r="D6" i="2"/>
  <c r="E6" i="2"/>
  <c r="B6" i="2"/>
  <c r="I31" i="1"/>
  <c r="I30" i="1" l="1"/>
  <c r="I29" i="1" s="1"/>
  <c r="I9" i="1"/>
  <c r="I11" i="1" s="1"/>
  <c r="I17" i="1" s="1"/>
  <c r="F15" i="1" s="1"/>
  <c r="I23" i="1" l="1"/>
  <c r="F29" i="1"/>
  <c r="F27" i="1" l="1"/>
  <c r="F25" i="1" s="1"/>
  <c r="F23" i="1" s="1"/>
  <c r="F21" i="1" s="1"/>
  <c r="I18" i="1" s="1"/>
  <c r="F19" i="1" s="1"/>
</calcChain>
</file>

<file path=xl/sharedStrings.xml><?xml version="1.0" encoding="utf-8"?>
<sst xmlns="http://schemas.openxmlformats.org/spreadsheetml/2006/main" count="671" uniqueCount="187">
  <si>
    <t>Deroutement</t>
  </si>
  <si>
    <t>Secu sol</t>
  </si>
  <si>
    <t>[nb]</t>
  </si>
  <si>
    <t>%</t>
  </si>
  <si>
    <t>Remplissage</t>
  </si>
  <si>
    <t>[kt]</t>
  </si>
  <si>
    <t>[NM]</t>
  </si>
  <si>
    <t>[min]</t>
  </si>
  <si>
    <t>[lb]</t>
  </si>
  <si>
    <t>Entrées</t>
  </si>
  <si>
    <t>Note</t>
  </si>
  <si>
    <t>Calculs</t>
  </si>
  <si>
    <t>distance*pénalités trainées</t>
  </si>
  <si>
    <t>Capacité maxi fuel</t>
  </si>
  <si>
    <t>Conso déroutement</t>
  </si>
  <si>
    <t>Bingos [lb]</t>
  </si>
  <si>
    <t>Fin de mission</t>
  </si>
  <si>
    <t>Ajuster la distance en fonction du dernier ravitaillement</t>
  </si>
  <si>
    <t>Ne pas inclure les bouts d'ailes ni les cheek stations.</t>
  </si>
  <si>
    <t xml:space="preserve"> / </t>
  </si>
  <si>
    <t>Bingo pour départ déroutement si posé impossible</t>
  </si>
  <si>
    <t>Altitude et vitesse FPAS best range</t>
  </si>
  <si>
    <t>Distance transit retour</t>
  </si>
  <si>
    <t>Playtime</t>
  </si>
  <si>
    <t>Vent à l'altitude de transit</t>
  </si>
  <si>
    <t>Réserve de combat</t>
  </si>
  <si>
    <t>Altitude de mission</t>
  </si>
  <si>
    <t>[ft]</t>
  </si>
  <si>
    <t># de bidons (0 à 3)</t>
  </si>
  <si>
    <t>Distance du dernier plein  jusqu'à l'IP</t>
  </si>
  <si>
    <t>Altitude de transit aller</t>
  </si>
  <si>
    <t>Configuration</t>
  </si>
  <si>
    <t>BE</t>
  </si>
  <si>
    <t>BR</t>
  </si>
  <si>
    <t>Buster</t>
  </si>
  <si>
    <t>Gate</t>
  </si>
  <si>
    <t>MACH</t>
  </si>
  <si>
    <t>Fuel Flow / mot / h</t>
  </si>
  <si>
    <t>Ground Speed</t>
  </si>
  <si>
    <t>Altitude @1</t>
  </si>
  <si>
    <t>Altitude @10</t>
  </si>
  <si>
    <t>Altitude @20</t>
  </si>
  <si>
    <t>Altitude @30</t>
  </si>
  <si>
    <t>Altitude @40</t>
  </si>
  <si>
    <t>SEAD 4xHARM 1xventral</t>
  </si>
  <si>
    <t>Heavy strike 8xJSOW 1xventral</t>
  </si>
  <si>
    <t>AVM 1xventral</t>
  </si>
  <si>
    <t>40568 lb</t>
  </si>
  <si>
    <t>44864 lb</t>
  </si>
  <si>
    <t>50598 lb</t>
  </si>
  <si>
    <t>Consumption lb/NM @1</t>
  </si>
  <si>
    <t>Consumption lb/NM @10</t>
  </si>
  <si>
    <t>Consumption lb/NM @20</t>
  </si>
  <si>
    <t>Consumption lb/NM @30</t>
  </si>
  <si>
    <t>Consumption lb/NM @40</t>
  </si>
  <si>
    <t>Facteurs de progression</t>
  </si>
  <si>
    <t>Moyenne de progression</t>
  </si>
  <si>
    <t>Moyenne Buster to Gate</t>
  </si>
  <si>
    <t>Buster to Gate</t>
  </si>
  <si>
    <t xml:space="preserve"> - </t>
  </si>
  <si>
    <t xml:space="preserve"> = </t>
  </si>
  <si>
    <t>Impact vent</t>
  </si>
  <si>
    <t>0kt</t>
  </si>
  <si>
    <t>GS</t>
  </si>
  <si>
    <t>FF</t>
  </si>
  <si>
    <t>Facteur de baisse de conso par ft d'altitude</t>
  </si>
  <si>
    <t>Quantité de carburant au départ</t>
  </si>
  <si>
    <t>Quantité de carburant consommable de l'IP jusqu'au bingo retour</t>
  </si>
  <si>
    <t>Consommation lb/min sans pénalités au niveau de la mer</t>
  </si>
  <si>
    <t>Consommation lb/min avec pénalités de trainées</t>
  </si>
  <si>
    <t>Consommation horaire à l'altitude de mission en lb/min</t>
  </si>
  <si>
    <t>Consommation à l'altitude de transit en lb/NM</t>
  </si>
  <si>
    <t>Consommation Mission lb/min avec penalité + 2 minutes à conso Gate</t>
  </si>
  <si>
    <t>Transit à altitude identique que le segment aller</t>
  </si>
  <si>
    <t>Calcul Bingo et Playtime F/A-18C</t>
  </si>
  <si>
    <t>Par Kima pour l'AVM
Verion 0.2</t>
  </si>
  <si>
    <t>Carburant prévu en début de mission</t>
  </si>
  <si>
    <t>Versions</t>
  </si>
  <si>
    <t>v0.1 première release de test</t>
  </si>
  <si>
    <t>v0.2 Suppression circuit piste / Ajout indication carburant début mission / Suppression Limite descente Case II/III</t>
  </si>
  <si>
    <t>2xMav</t>
  </si>
  <si>
    <t>2x-38</t>
  </si>
  <si>
    <t>1 bidon</t>
  </si>
  <si>
    <t>@0</t>
  </si>
  <si>
    <t>BR.50</t>
  </si>
  <si>
    <t>BE.37</t>
  </si>
  <si>
    <t>FF 2x</t>
  </si>
  <si>
    <t>LB/NM</t>
  </si>
  <si>
    <t>LB/min</t>
  </si>
  <si>
    <t>@15</t>
  </si>
  <si>
    <t>BR.64</t>
  </si>
  <si>
    <t>BE.49</t>
  </si>
  <si>
    <t>@35</t>
  </si>
  <si>
    <t>BR.83</t>
  </si>
  <si>
    <t>BE.75</t>
  </si>
  <si>
    <t>Conf :</t>
  </si>
  <si>
    <t>n/a</t>
  </si>
  <si>
    <t>BR.53</t>
  </si>
  <si>
    <t>BE.40</t>
  </si>
  <si>
    <t>BR.62</t>
  </si>
  <si>
    <t>BE.48</t>
  </si>
  <si>
    <t>ajout à la distance équivalente de 0,103nm/ktvent</t>
  </si>
  <si>
    <t>Réserve de combat (2 minutes de PC incluses)</t>
  </si>
  <si>
    <t>minutes (FPAS best endurance)</t>
  </si>
  <si>
    <t>Altitude d'évolution moyenne pour la mission</t>
  </si>
  <si>
    <t>Réserve de sécurité (NATOPS 1200lb)</t>
  </si>
  <si>
    <t>Correction gain/alt / Correction conso combat &lt;2min /Diverses corrections libellés</t>
  </si>
  <si>
    <t># de munitions sous pylones (0 à 10)</t>
  </si>
  <si>
    <t>Par défaut : 100%</t>
  </si>
  <si>
    <t>Check carburant à l'IP</t>
  </si>
  <si>
    <t>Bingo de fin de mission en [lb]</t>
  </si>
  <si>
    <t>2 bidons</t>
  </si>
  <si>
    <t>BR.55</t>
  </si>
  <si>
    <t>BE.41</t>
  </si>
  <si>
    <t>BE.76</t>
  </si>
  <si>
    <t>BE.38</t>
  </si>
  <si>
    <t>BR.61</t>
  </si>
  <si>
    <t>BE.47</t>
  </si>
  <si>
    <t>BE.72</t>
  </si>
  <si>
    <t>2 rkt</t>
  </si>
  <si>
    <t>BR.59</t>
  </si>
  <si>
    <t>BE.45</t>
  </si>
  <si>
    <t>BR.81</t>
  </si>
  <si>
    <t>BE.67</t>
  </si>
  <si>
    <t>2 MAV</t>
  </si>
  <si>
    <t>BR.51</t>
  </si>
  <si>
    <t>BR.60</t>
  </si>
  <si>
    <t>4 jsow</t>
  </si>
  <si>
    <t>2 120c</t>
  </si>
  <si>
    <t>BR.54</t>
  </si>
  <si>
    <t>BR.63</t>
  </si>
  <si>
    <t>BE.74</t>
  </si>
  <si>
    <t>2 mk20</t>
  </si>
  <si>
    <t>4mk20</t>
  </si>
  <si>
    <t>BE.69</t>
  </si>
  <si>
    <t>4rkt</t>
  </si>
  <si>
    <t>2mk20</t>
  </si>
  <si>
    <t>BE.44</t>
  </si>
  <si>
    <t>BR.79</t>
  </si>
  <si>
    <t>Conf 1 :</t>
  </si>
  <si>
    <t>Conf 1</t>
  </si>
  <si>
    <t>Conf 2</t>
  </si>
  <si>
    <t>Conf 3</t>
  </si>
  <si>
    <t>delta 35-0
lb/NM</t>
  </si>
  <si>
    <t>delta 35-0
lb/min</t>
  </si>
  <si>
    <t>Conf 2 :</t>
  </si>
  <si>
    <t>Conf 0</t>
  </si>
  <si>
    <t>Bidons</t>
  </si>
  <si>
    <t>Munitions</t>
  </si>
  <si>
    <t>Conf 2m</t>
  </si>
  <si>
    <t>Conf 0m</t>
  </si>
  <si>
    <t>(augmentation des perfs en fonction de l'altitude)</t>
  </si>
  <si>
    <t>Conf 4m</t>
  </si>
  <si>
    <t>Conf 2m :</t>
  </si>
  <si>
    <t>Conf 4m :</t>
  </si>
  <si>
    <t>Conf 6m :</t>
  </si>
  <si>
    <t>Conf 6m</t>
  </si>
  <si>
    <t>Conf 8m :</t>
  </si>
  <si>
    <t>Conf 10m :</t>
  </si>
  <si>
    <t>Conf 8m</t>
  </si>
  <si>
    <t>Conf 10m</t>
  </si>
  <si>
    <t>Moyenne</t>
  </si>
  <si>
    <t>Moyenne cumulée</t>
  </si>
  <si>
    <t>BR lb/NM @0</t>
  </si>
  <si>
    <t>BR lb/NM @15</t>
  </si>
  <si>
    <t>BR lb/NM @35</t>
  </si>
  <si>
    <t>Pénalités de traînées</t>
  </si>
  <si>
    <t>Progression</t>
  </si>
  <si>
    <t>Moyenne des progressions bidons</t>
  </si>
  <si>
    <t>Moyenne des progressions cumulées</t>
  </si>
  <si>
    <t>Moyenne des progressions munitions (par paires !)</t>
  </si>
  <si>
    <t>Moyenne par munition</t>
  </si>
  <si>
    <t>Pénalité de trainées par bidon</t>
  </si>
  <si>
    <t>Pénalité de trainées par munition (ajoutée à celle des bidons)</t>
  </si>
  <si>
    <t>Conso lb/NM en lisse sans pénalités au niveau de la mer</t>
  </si>
  <si>
    <t>Temps</t>
  </si>
  <si>
    <t>Distance</t>
  </si>
  <si>
    <t>Montée @5 to @35</t>
  </si>
  <si>
    <t>Forfait démarrage complet (-220) et roulage (-280 andersen full lenght) et (-600 TO PC vers 300kt @5)</t>
  </si>
  <si>
    <t>Montée selon vitesse FPAS/CLIMB</t>
  </si>
  <si>
    <t>Selon prévision MTO quelle que soit la direction</t>
  </si>
  <si>
    <t>Altitude de transit retour</t>
  </si>
  <si>
    <t>Nouveau modèle de calcul des traînées / Ajout conso start et taxi / Ajout altitude transit retour</t>
  </si>
  <si>
    <t>Carburant de montée à FPAS/CLIMB à 0.04lb/ft</t>
  </si>
  <si>
    <t>Carburant consommé en vol jusqu'à l'IP en lb</t>
  </si>
  <si>
    <t>Ajout consommation montées leg aller / Ajout consommation leg retour</t>
  </si>
  <si>
    <t>ajout consommation montée vers altitude 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</si>
</sst>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 tint="0.399975585192419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0" borderId="10" xfId="0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3" fontId="0" fillId="0" borderId="10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" fontId="0" fillId="5" borderId="10" xfId="0" applyNumberFormat="1" applyFill="1" applyBorder="1" applyAlignment="1">
      <alignment horizontal="center"/>
    </xf>
    <xf numFmtId="1" fontId="0" fillId="7" borderId="10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2" xfId="0" applyFill="1" applyBorder="1"/>
    <xf numFmtId="2" fontId="0" fillId="0" borderId="12" xfId="0" applyNumberForma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2" fontId="0" fillId="8" borderId="14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left" vertical="center" wrapText="1"/>
    </xf>
    <xf numFmtId="0" fontId="3" fillId="2" borderId="0" xfId="0" quotePrefix="1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/>
    <xf numFmtId="0" fontId="1" fillId="0" borderId="0" xfId="0" quotePrefix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11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9" borderId="1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16" xfId="0" applyFill="1" applyBorder="1"/>
    <xf numFmtId="0" fontId="3" fillId="4" borderId="11" xfId="0" applyFont="1" applyFill="1" applyBorder="1" applyAlignment="1">
      <alignment horizontal="center" vertical="center" wrapText="1"/>
    </xf>
    <xf numFmtId="0" fontId="0" fillId="3" borderId="19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0" fillId="0" borderId="2" xfId="0" applyBorder="1" applyAlignment="1">
      <alignment horizontal="right"/>
    </xf>
    <xf numFmtId="0" fontId="6" fillId="0" borderId="3" xfId="0" applyFont="1" applyBorder="1"/>
    <xf numFmtId="0" fontId="7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6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17" xfId="0" applyFont="1" applyBorder="1"/>
    <xf numFmtId="2" fontId="0" fillId="0" borderId="0" xfId="0" applyNumberFormat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4" borderId="15" xfId="0" applyFont="1" applyFill="1" applyBorder="1" applyAlignment="1">
      <alignment horizontal="right" vertical="center"/>
    </xf>
    <xf numFmtId="0" fontId="0" fillId="4" borderId="16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right" vertical="center"/>
    </xf>
    <xf numFmtId="0" fontId="0" fillId="3" borderId="19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0" xfId="0" applyFont="1" applyAlignment="1">
      <alignment horizontal="center"/>
    </xf>
    <xf numFmtId="1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prot2'!$C$12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prot2'!$B$13:$B$15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prot2'!$C$13:$C$15</c:f>
              <c:numCache>
                <c:formatCode>General</c:formatCode>
                <c:ptCount val="3"/>
                <c:pt idx="0">
                  <c:v>24</c:v>
                </c:pt>
                <c:pt idx="1">
                  <c:v>18</c:v>
                </c:pt>
                <c:pt idx="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63-4C12-90CF-3763EA4066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prot2'!$C$90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prot2'!$B$91:$B$93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prot2'!$C$91:$C$93</c:f>
              <c:numCache>
                <c:formatCode>General</c:formatCode>
                <c:ptCount val="3"/>
                <c:pt idx="0">
                  <c:v>100</c:v>
                </c:pt>
                <c:pt idx="1">
                  <c:v>87</c:v>
                </c:pt>
                <c:pt idx="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4D-4D36-83B8-C36859FDD0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prot2'!$J$86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prot2'!$I$87:$I$89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prot2'!$J$87:$J$89</c:f>
              <c:numCache>
                <c:formatCode>General</c:formatCode>
                <c:ptCount val="3"/>
                <c:pt idx="0">
                  <c:v>23</c:v>
                </c:pt>
                <c:pt idx="1">
                  <c:v>18</c:v>
                </c:pt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1-4727-9C63-BA11D7B193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prot2'!$J$90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prot2'!$I$91:$I$93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prot2'!$J$91:$J$93</c:f>
              <c:numCache>
                <c:formatCode>General</c:formatCode>
                <c:ptCount val="3"/>
                <c:pt idx="0">
                  <c:v>108</c:v>
                </c:pt>
                <c:pt idx="1">
                  <c:v>97</c:v>
                </c:pt>
                <c:pt idx="2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05-4C70-B7F3-6BCD1084C6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prot2'!$C$124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prot2'!$B$125:$B$127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prot2'!$C$125:$C$127</c:f>
              <c:numCache>
                <c:formatCode>General</c:formatCode>
                <c:ptCount val="3"/>
                <c:pt idx="0">
                  <c:v>24</c:v>
                </c:pt>
                <c:pt idx="1">
                  <c:v>19</c:v>
                </c:pt>
                <c:pt idx="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2-4E40-999D-62E20DE96A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prot2'!$C$128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prot2'!$B$129:$B$131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prot2'!$C$129:$C$131</c:f>
              <c:numCache>
                <c:formatCode>General</c:formatCode>
                <c:ptCount val="3"/>
                <c:pt idx="0">
                  <c:v>100</c:v>
                </c:pt>
                <c:pt idx="1">
                  <c:v>87</c:v>
                </c:pt>
                <c:pt idx="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4-4FA9-A580-7D7BEDD9EE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prot2'!$J$124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prot2'!$I$125:$I$127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prot2'!$J$125:$J$127</c:f>
              <c:numCache>
                <c:formatCode>General</c:formatCode>
                <c:ptCount val="3"/>
                <c:pt idx="0">
                  <c:v>23</c:v>
                </c:pt>
                <c:pt idx="1">
                  <c:v>19</c:v>
                </c:pt>
                <c:pt idx="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DE-4909-8DD5-9D225B3BDF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prot2'!$J$128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prot2'!$I$129:$I$131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prot2'!$J$129:$J$131</c:f>
              <c:numCache>
                <c:formatCode>General</c:formatCode>
                <c:ptCount val="3"/>
                <c:pt idx="0">
                  <c:v>117</c:v>
                </c:pt>
                <c:pt idx="1">
                  <c:v>105</c:v>
                </c:pt>
                <c:pt idx="2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AC-4C24-990A-2CC8D86998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prot2'!$C$161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prot2'!$B$162:$B$164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prot2'!$C$162:$C$164</c:f>
              <c:numCache>
                <c:formatCode>General</c:formatCode>
                <c:ptCount val="3"/>
                <c:pt idx="0">
                  <c:v>25</c:v>
                </c:pt>
                <c:pt idx="1">
                  <c:v>19</c:v>
                </c:pt>
                <c:pt idx="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03-4E9C-BAA7-9551968CC9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prot2'!$C$165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prot2'!$B$166:$B$168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prot2'!$C$166:$C$168</c:f>
              <c:numCache>
                <c:formatCode>General</c:formatCode>
                <c:ptCount val="3"/>
                <c:pt idx="0">
                  <c:v>120</c:v>
                </c:pt>
                <c:pt idx="1">
                  <c:v>108</c:v>
                </c:pt>
                <c:pt idx="2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74-4085-9730-4278498DE3B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prot2'!$J$161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prot2'!$I$162:$I$164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prot2'!$J$162:$J$164</c:f>
              <c:numCache>
                <c:formatCode>General</c:formatCode>
                <c:ptCount val="3"/>
                <c:pt idx="0">
                  <c:v>27</c:v>
                </c:pt>
                <c:pt idx="1">
                  <c:v>23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D4-45A1-942C-16D9392FA0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prot2'!$C$16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prot2'!$B$17:$B$19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prot2'!$C$17:$C$19</c:f>
              <c:numCache>
                <c:formatCode>General</c:formatCode>
                <c:ptCount val="3"/>
                <c:pt idx="0">
                  <c:v>110</c:v>
                </c:pt>
                <c:pt idx="1">
                  <c:v>100</c:v>
                </c:pt>
                <c:pt idx="2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C-4091-811E-FB4505094C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prot2'!$J$165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prot2'!$I$166:$I$168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prot2'!$J$166:$J$168</c:f>
              <c:numCache>
                <c:formatCode>General</c:formatCode>
                <c:ptCount val="3"/>
                <c:pt idx="0">
                  <c:v>127</c:v>
                </c:pt>
                <c:pt idx="1">
                  <c:v>117</c:v>
                </c:pt>
                <c:pt idx="2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D-42BE-8648-B4EA79E51E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Consommation</a:t>
            </a:r>
            <a:r>
              <a:rPr lang="fr-CH" baseline="0"/>
              <a:t> lb/NM par blocs d'altitude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baseline="0"/>
              <a:t>en configuration AVM</a:t>
            </a:r>
            <a:endParaRPr lang="fr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conso'!$A$6</c:f>
              <c:strCache>
                <c:ptCount val="1"/>
                <c:pt idx="0">
                  <c:v>Consumption lb/NM @1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conso'!$B$6:$E$6</c:f>
              <c:numCache>
                <c:formatCode>0</c:formatCode>
                <c:ptCount val="4"/>
                <c:pt idx="0">
                  <c:v>25</c:v>
                </c:pt>
                <c:pt idx="1">
                  <c:v>21.406727828746178</c:v>
                </c:pt>
                <c:pt idx="2">
                  <c:v>33.881578947368418</c:v>
                </c:pt>
                <c:pt idx="3">
                  <c:v>99.406528189910986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98-45ED-AC97-7C3A00904036}"/>
            </c:ext>
          </c:extLst>
        </c:ser>
        <c:ser>
          <c:idx val="1"/>
          <c:order val="1"/>
          <c:tx>
            <c:strRef>
              <c:f>'Mesure conso'!$A$12</c:f>
              <c:strCache>
                <c:ptCount val="1"/>
                <c:pt idx="0">
                  <c:v>Consumption lb/NM @10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conso'!$B$12:$E$12</c:f>
              <c:numCache>
                <c:formatCode>0</c:formatCode>
                <c:ptCount val="4"/>
                <c:pt idx="0">
                  <c:v>20.714285714285715</c:v>
                </c:pt>
                <c:pt idx="1">
                  <c:v>18.579234972677597</c:v>
                </c:pt>
                <c:pt idx="2">
                  <c:v>30.819672131147541</c:v>
                </c:pt>
                <c:pt idx="3">
                  <c:v>85.5944055944056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98-45ED-AC97-7C3A00904036}"/>
            </c:ext>
          </c:extLst>
        </c:ser>
        <c:ser>
          <c:idx val="2"/>
          <c:order val="2"/>
          <c:tx>
            <c:strRef>
              <c:f>'Mesure conso'!$A$18</c:f>
              <c:strCache>
                <c:ptCount val="1"/>
                <c:pt idx="0">
                  <c:v>Consumption lb/NM @20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conso'!$B$18:$E$18</c:f>
              <c:numCache>
                <c:formatCode>0</c:formatCode>
                <c:ptCount val="4"/>
                <c:pt idx="0">
                  <c:v>15.476190476190476</c:v>
                </c:pt>
                <c:pt idx="1">
                  <c:v>14.553990610328638</c:v>
                </c:pt>
                <c:pt idx="2">
                  <c:v>26.666666666666668</c:v>
                </c:pt>
                <c:pt idx="3">
                  <c:v>67.272727272727266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98-45ED-AC97-7C3A00904036}"/>
            </c:ext>
          </c:extLst>
        </c:ser>
        <c:ser>
          <c:idx val="3"/>
          <c:order val="3"/>
          <c:tx>
            <c:strRef>
              <c:f>'Mesure conso'!$A$24</c:f>
              <c:strCache>
                <c:ptCount val="1"/>
                <c:pt idx="0">
                  <c:v>Consumption lb/NM @30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conso'!$B$24:$E$24</c:f>
              <c:numCache>
                <c:formatCode>0</c:formatCode>
                <c:ptCount val="4"/>
                <c:pt idx="0">
                  <c:v>12.690355329949238</c:v>
                </c:pt>
                <c:pt idx="1">
                  <c:v>12.422360248447205</c:v>
                </c:pt>
                <c:pt idx="2">
                  <c:v>24</c:v>
                </c:pt>
                <c:pt idx="3">
                  <c:v>53.580246913580247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98-45ED-AC97-7C3A00904036}"/>
            </c:ext>
          </c:extLst>
        </c:ser>
        <c:ser>
          <c:idx val="4"/>
          <c:order val="4"/>
          <c:tx>
            <c:strRef>
              <c:f>'Mesure conso'!$A$30</c:f>
              <c:strCache>
                <c:ptCount val="1"/>
                <c:pt idx="0">
                  <c:v>Consumption lb/NM @40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conso'!$B$30:$E$30</c:f>
              <c:numCache>
                <c:formatCode>0</c:formatCode>
                <c:ptCount val="4"/>
                <c:pt idx="0">
                  <c:v>10.19108280254777</c:v>
                </c:pt>
                <c:pt idx="1">
                  <c:v>10.677618069815194</c:v>
                </c:pt>
                <c:pt idx="2">
                  <c:v>16.785714285714285</c:v>
                </c:pt>
                <c:pt idx="3">
                  <c:v>35.608308605341243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98-45ED-AC97-7C3A00904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548992"/>
        <c:axId val="709549320"/>
      </c:lineChart>
      <c:catAx>
        <c:axId val="7095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9549320"/>
        <c:crosses val="autoZero"/>
        <c:auto val="1"/>
        <c:lblAlgn val="ctr"/>
        <c:lblOffset val="100"/>
        <c:noMultiLvlLbl val="0"/>
      </c:catAx>
      <c:valAx>
        <c:axId val="70954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95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Consommation</a:t>
            </a:r>
            <a:r>
              <a:rPr lang="fr-CH" baseline="0"/>
              <a:t> lb/NM par blocs d'altitude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baseline="0"/>
              <a:t>en configuration SEAD</a:t>
            </a:r>
            <a:endParaRPr lang="fr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conso'!$A$37</c:f>
              <c:strCache>
                <c:ptCount val="1"/>
                <c:pt idx="0">
                  <c:v>Consumption lb/NM @1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conso'!$B$37:$E$37</c:f>
              <c:numCache>
                <c:formatCode>0</c:formatCode>
                <c:ptCount val="4"/>
                <c:pt idx="0">
                  <c:v>27.091633466135459</c:v>
                </c:pt>
                <c:pt idx="1">
                  <c:v>24.698795180722893</c:v>
                </c:pt>
                <c:pt idx="2">
                  <c:v>35.88850174216028</c:v>
                </c:pt>
                <c:pt idx="3">
                  <c:v>106.18066561014263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6-414B-837A-351110914142}"/>
            </c:ext>
          </c:extLst>
        </c:ser>
        <c:ser>
          <c:idx val="1"/>
          <c:order val="1"/>
          <c:tx>
            <c:strRef>
              <c:f>'Mesure conso'!$A$43</c:f>
              <c:strCache>
                <c:ptCount val="1"/>
                <c:pt idx="0">
                  <c:v>Consumption lb/NM @10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conso'!$B$43:$E$43</c:f>
              <c:numCache>
                <c:formatCode>0</c:formatCode>
                <c:ptCount val="4"/>
                <c:pt idx="0">
                  <c:v>23.239436619718308</c:v>
                </c:pt>
                <c:pt idx="1">
                  <c:v>20.91152815013405</c:v>
                </c:pt>
                <c:pt idx="2">
                  <c:v>30.018083182640144</c:v>
                </c:pt>
                <c:pt idx="3">
                  <c:v>93.710691823899367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6-414B-837A-351110914142}"/>
            </c:ext>
          </c:extLst>
        </c:ser>
        <c:ser>
          <c:idx val="2"/>
          <c:order val="2"/>
          <c:tx>
            <c:strRef>
              <c:f>'Mesure conso'!$A$49</c:f>
              <c:strCache>
                <c:ptCount val="1"/>
                <c:pt idx="0">
                  <c:v>Consumption lb/NM @20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conso'!$B$49:$E$49</c:f>
              <c:numCache>
                <c:formatCode>0</c:formatCode>
                <c:ptCount val="4"/>
                <c:pt idx="0">
                  <c:v>18.618618618618619</c:v>
                </c:pt>
                <c:pt idx="1">
                  <c:v>16.783216783216783</c:v>
                </c:pt>
                <c:pt idx="2">
                  <c:v>27.046263345195729</c:v>
                </c:pt>
                <c:pt idx="3">
                  <c:v>75.766871165644176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6-414B-837A-351110914142}"/>
            </c:ext>
          </c:extLst>
        </c:ser>
        <c:ser>
          <c:idx val="3"/>
          <c:order val="3"/>
          <c:tx>
            <c:strRef>
              <c:f>'Mesure conso'!$A$55</c:f>
              <c:strCache>
                <c:ptCount val="1"/>
                <c:pt idx="0">
                  <c:v>Consumption lb/NM @30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conso'!$B$55:$E$55</c:f>
              <c:numCache>
                <c:formatCode>0</c:formatCode>
                <c:ptCount val="4"/>
                <c:pt idx="0">
                  <c:v>15.384615384615385</c:v>
                </c:pt>
                <c:pt idx="1">
                  <c:v>15.320910973084887</c:v>
                </c:pt>
                <c:pt idx="2">
                  <c:v>19.776119402985074</c:v>
                </c:pt>
                <c:pt idx="3">
                  <c:v>52.547770700636946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6-414B-837A-351110914142}"/>
            </c:ext>
          </c:extLst>
        </c:ser>
        <c:ser>
          <c:idx val="4"/>
          <c:order val="4"/>
          <c:tx>
            <c:strRef>
              <c:f>'Mesure conso'!$A$61</c:f>
              <c:strCache>
                <c:ptCount val="1"/>
                <c:pt idx="0">
                  <c:v>Consumption lb/NM @40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conso'!$B$61:$E$61</c:f>
              <c:numCache>
                <c:formatCode>0</c:formatCode>
                <c:ptCount val="4"/>
                <c:pt idx="0">
                  <c:v>12.97071129707113</c:v>
                </c:pt>
                <c:pt idx="1">
                  <c:v>13.141683778234086</c:v>
                </c:pt>
                <c:pt idx="2">
                  <c:v>13.944223107569721</c:v>
                </c:pt>
                <c:pt idx="3">
                  <c:v>32.933104631217837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26-414B-837A-35111091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548992"/>
        <c:axId val="709549320"/>
      </c:lineChart>
      <c:catAx>
        <c:axId val="7095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9549320"/>
        <c:crosses val="autoZero"/>
        <c:auto val="1"/>
        <c:lblAlgn val="ctr"/>
        <c:lblOffset val="100"/>
        <c:noMultiLvlLbl val="0"/>
      </c:catAx>
      <c:valAx>
        <c:axId val="70954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95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Consommation</a:t>
            </a:r>
            <a:r>
              <a:rPr lang="fr-CH" baseline="0"/>
              <a:t> lb/NM par blocs d'altitude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baseline="0"/>
              <a:t>en configuration Heavy Strike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conso'!$A$68</c:f>
              <c:strCache>
                <c:ptCount val="1"/>
                <c:pt idx="0">
                  <c:v>Consumption lb/NM @1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conso'!$B$68:$E$68</c:f>
              <c:numCache>
                <c:formatCode>0</c:formatCode>
                <c:ptCount val="4"/>
                <c:pt idx="0">
                  <c:v>36.015325670498086</c:v>
                </c:pt>
                <c:pt idx="1">
                  <c:v>35.568513119533527</c:v>
                </c:pt>
                <c:pt idx="2">
                  <c:v>41.409691629955944</c:v>
                </c:pt>
                <c:pt idx="3">
                  <c:v>119.57295373665481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6-4863-B74B-C7B7ED931A00}"/>
            </c:ext>
          </c:extLst>
        </c:ser>
        <c:ser>
          <c:idx val="1"/>
          <c:order val="1"/>
          <c:tx>
            <c:strRef>
              <c:f>'Mesure conso'!$A$74</c:f>
              <c:strCache>
                <c:ptCount val="1"/>
                <c:pt idx="0">
                  <c:v>Consumption lb/NM @10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conso'!$B$74:$E$74</c:f>
              <c:numCache>
                <c:formatCode>0</c:formatCode>
                <c:ptCount val="4"/>
                <c:pt idx="0">
                  <c:v>31.438127090301002</c:v>
                </c:pt>
                <c:pt idx="1">
                  <c:v>31.39240506329114</c:v>
                </c:pt>
                <c:pt idx="2">
                  <c:v>33.191489361702125</c:v>
                </c:pt>
                <c:pt idx="3">
                  <c:v>104.07079646017699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6-4863-B74B-C7B7ED931A00}"/>
            </c:ext>
          </c:extLst>
        </c:ser>
        <c:ser>
          <c:idx val="2"/>
          <c:order val="2"/>
          <c:tx>
            <c:strRef>
              <c:f>'Mesure conso'!$A$80</c:f>
              <c:strCache>
                <c:ptCount val="1"/>
                <c:pt idx="0">
                  <c:v>Consumption lb/NM @20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conso'!$B$80:$E$80</c:f>
              <c:numCache>
                <c:formatCode>0</c:formatCode>
                <c:ptCount val="4"/>
                <c:pt idx="0">
                  <c:v>25</c:v>
                </c:pt>
                <c:pt idx="1">
                  <c:v>26.431718061674008</c:v>
                </c:pt>
                <c:pt idx="2">
                  <c:v>29.6</c:v>
                </c:pt>
                <c:pt idx="3">
                  <c:v>75.547445255474457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6-4863-B74B-C7B7ED931A00}"/>
            </c:ext>
          </c:extLst>
        </c:ser>
        <c:ser>
          <c:idx val="3"/>
          <c:order val="3"/>
          <c:tx>
            <c:strRef>
              <c:f>'Mesure conso'!$A$86</c:f>
              <c:strCache>
                <c:ptCount val="1"/>
                <c:pt idx="0">
                  <c:v>Consumption lb/NM @30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'Mesure conso'!$B$2:$E$2</c:f>
              <c:strCache>
                <c:ptCount val="4"/>
                <c:pt idx="0">
                  <c:v>BE</c:v>
                </c:pt>
                <c:pt idx="1">
                  <c:v>BR</c:v>
                </c:pt>
                <c:pt idx="2">
                  <c:v>Buster</c:v>
                </c:pt>
                <c:pt idx="3">
                  <c:v>Gate</c:v>
                </c:pt>
              </c:strCache>
            </c:strRef>
          </c:cat>
          <c:val>
            <c:numRef>
              <c:f>'Mesure conso'!$B$86:$E$86</c:f>
              <c:numCache>
                <c:formatCode>0</c:formatCode>
                <c:ptCount val="4"/>
                <c:pt idx="0">
                  <c:v>20.975609756097562</c:v>
                </c:pt>
                <c:pt idx="1">
                  <c:v>28</c:v>
                </c:pt>
                <c:pt idx="2">
                  <c:v>27.572016460905349</c:v>
                </c:pt>
                <c:pt idx="3">
                  <c:v>55.407969639468689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26-4863-B74B-C7B7ED931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548992"/>
        <c:axId val="709549320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'Mesure conso'!$A$92</c15:sqref>
                        </c15:formulaRef>
                      </c:ext>
                    </c:extLst>
                    <c:strCache>
                      <c:ptCount val="1"/>
                      <c:pt idx="0">
                        <c:v>Consumption lb/NM @40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'Mesure conso'!$B$2:$E$2</c15:sqref>
                        </c15:formulaRef>
                      </c:ext>
                    </c:extLst>
                    <c:strCache>
                      <c:ptCount val="4"/>
                      <c:pt idx="0">
                        <c:v>BE</c:v>
                      </c:pt>
                      <c:pt idx="1">
                        <c:v>BR</c:v>
                      </c:pt>
                      <c:pt idx="2">
                        <c:v>Buster</c:v>
                      </c:pt>
                      <c:pt idx="3">
                        <c:v>Gate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'Mesure conso'!$B$92:$E$92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29.29936305732484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32.916666666666664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B726-4863-B74B-C7B7ED931A00}"/>
                  </c:ext>
                </c:extLst>
              </c15:ser>
            </c15:filteredLineSeries>
          </c:ext>
        </c:extLst>
      </c:lineChart>
      <c:catAx>
        <c:axId val="7095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9549320"/>
        <c:crosses val="autoZero"/>
        <c:auto val="1"/>
        <c:lblAlgn val="ctr"/>
        <c:lblOffset val="100"/>
        <c:noMultiLvlLbl val="0"/>
      </c:catAx>
      <c:valAx>
        <c:axId val="70954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95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prot2'!$J$12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prot2'!$I$13:$I$15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prot2'!$J$13:$J$15</c:f>
              <c:numCache>
                <c:formatCode>General</c:formatCode>
                <c:ptCount val="3"/>
                <c:pt idx="0">
                  <c:v>20</c:v>
                </c:pt>
                <c:pt idx="1">
                  <c:v>16</c:v>
                </c:pt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7-49A6-AF52-B5C39CEE06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prot2'!$J$16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prot2'!$I$17:$I$19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prot2'!$J$17:$J$19</c:f>
              <c:numCache>
                <c:formatCode>General</c:formatCode>
                <c:ptCount val="3"/>
                <c:pt idx="0">
                  <c:v>103</c:v>
                </c:pt>
                <c:pt idx="1">
                  <c:v>93</c:v>
                </c:pt>
                <c:pt idx="2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E-4C9C-9017-32A0D90C05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prot2'!$C$49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prot2'!$B$50:$B$52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prot2'!$C$50:$C$52</c:f>
              <c:numCache>
                <c:formatCode>General</c:formatCode>
                <c:ptCount val="3"/>
                <c:pt idx="0">
                  <c:v>21</c:v>
                </c:pt>
                <c:pt idx="1">
                  <c:v>17</c:v>
                </c:pt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11-434D-B514-527519B767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prot2'!$C$53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prot2'!$B$54:$B$56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prot2'!$C$54:$C$56</c:f>
              <c:numCache>
                <c:formatCode>General</c:formatCode>
                <c:ptCount val="3"/>
                <c:pt idx="0">
                  <c:v>110</c:v>
                </c:pt>
                <c:pt idx="1">
                  <c:v>98</c:v>
                </c:pt>
                <c:pt idx="2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B-408A-A359-5145AA3732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prot2'!$J$49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prot2'!$I$50:$I$52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prot2'!$J$50:$J$52</c:f>
              <c:numCache>
                <c:formatCode>General</c:formatCode>
                <c:ptCount val="3"/>
                <c:pt idx="0">
                  <c:v>22</c:v>
                </c:pt>
                <c:pt idx="1">
                  <c:v>18</c:v>
                </c:pt>
                <c:pt idx="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A-4979-9E44-80D35E08F5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prot2'!$J$53</c:f>
              <c:strCache>
                <c:ptCount val="1"/>
                <c:pt idx="0">
                  <c:v>LB/min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prot2'!$I$54:$I$56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prot2'!$J$54:$J$56</c:f>
              <c:numCache>
                <c:formatCode>General</c:formatCode>
                <c:ptCount val="3"/>
                <c:pt idx="0">
                  <c:v>113</c:v>
                </c:pt>
                <c:pt idx="1">
                  <c:v>102</c:v>
                </c:pt>
                <c:pt idx="2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4-4089-A822-8E7D2D46F2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prot2'!$C$86</c:f>
              <c:strCache>
                <c:ptCount val="1"/>
                <c:pt idx="0">
                  <c:v>LB/NM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'Mesure prot2'!$B$87:$B$89</c:f>
              <c:strCache>
                <c:ptCount val="3"/>
                <c:pt idx="0">
                  <c:v>@0</c:v>
                </c:pt>
                <c:pt idx="1">
                  <c:v>@15</c:v>
                </c:pt>
                <c:pt idx="2">
                  <c:v>@35</c:v>
                </c:pt>
              </c:strCache>
            </c:strRef>
          </c:cat>
          <c:val>
            <c:numRef>
              <c:f>'Mesure prot2'!$C$87:$C$89</c:f>
              <c:numCache>
                <c:formatCode>General</c:formatCode>
                <c:ptCount val="3"/>
                <c:pt idx="0">
                  <c:v>20</c:v>
                </c:pt>
                <c:pt idx="1">
                  <c:v>16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4-41C6-8DAC-1BF2C0FDC8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941776"/>
        <c:axId val="705104224"/>
      </c:lineChart>
      <c:catAx>
        <c:axId val="401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5104224"/>
        <c:crosses val="autoZero"/>
        <c:auto val="1"/>
        <c:lblAlgn val="ctr"/>
        <c:lblOffset val="100"/>
        <c:noMultiLvlLbl val="0"/>
      </c:catAx>
      <c:valAx>
        <c:axId val="705104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1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19</xdr:row>
      <xdr:rowOff>95250</xdr:rowOff>
    </xdr:from>
    <xdr:to>
      <xdr:col>5</xdr:col>
      <xdr:colOff>581025</xdr:colOff>
      <xdr:row>26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45C0B6-44A4-FDDF-9637-08DA4F49BA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85724</xdr:colOff>
      <xdr:row>27</xdr:row>
      <xdr:rowOff>47624</xdr:rowOff>
    </xdr:from>
    <xdr:to>
      <xdr:col>5</xdr:col>
      <xdr:colOff>581024</xdr:colOff>
      <xdr:row>35</xdr:row>
      <xdr:rowOff>133349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4B69DEB-9063-44DD-8CCA-1D186839C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95249</xdr:colOff>
      <xdr:row>19</xdr:row>
      <xdr:rowOff>95250</xdr:rowOff>
    </xdr:from>
    <xdr:to>
      <xdr:col>12</xdr:col>
      <xdr:colOff>581025</xdr:colOff>
      <xdr:row>26</xdr:row>
      <xdr:rowOff>180975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FC6E747-3264-4943-BDEA-274979F88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85724</xdr:colOff>
      <xdr:row>27</xdr:row>
      <xdr:rowOff>47624</xdr:rowOff>
    </xdr:from>
    <xdr:to>
      <xdr:col>12</xdr:col>
      <xdr:colOff>581024</xdr:colOff>
      <xdr:row>35</xdr:row>
      <xdr:rowOff>133349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D2EBD12-F629-4B7E-B87A-CB95C4F15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95249</xdr:colOff>
      <xdr:row>56</xdr:row>
      <xdr:rowOff>95250</xdr:rowOff>
    </xdr:from>
    <xdr:to>
      <xdr:col>5</xdr:col>
      <xdr:colOff>581025</xdr:colOff>
      <xdr:row>63</xdr:row>
      <xdr:rowOff>180975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A6DAA07-4A6D-4EE9-8429-F63CE8347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85724</xdr:colOff>
      <xdr:row>64</xdr:row>
      <xdr:rowOff>47624</xdr:rowOff>
    </xdr:from>
    <xdr:to>
      <xdr:col>5</xdr:col>
      <xdr:colOff>581024</xdr:colOff>
      <xdr:row>72</xdr:row>
      <xdr:rowOff>133349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A77A1CC-8C39-4887-BFA0-223CE61B8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95249</xdr:colOff>
      <xdr:row>56</xdr:row>
      <xdr:rowOff>95250</xdr:rowOff>
    </xdr:from>
    <xdr:to>
      <xdr:col>12</xdr:col>
      <xdr:colOff>581025</xdr:colOff>
      <xdr:row>63</xdr:row>
      <xdr:rowOff>180975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B1C7EB91-EB7A-4323-9047-32678287C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85724</xdr:colOff>
      <xdr:row>64</xdr:row>
      <xdr:rowOff>47624</xdr:rowOff>
    </xdr:from>
    <xdr:to>
      <xdr:col>12</xdr:col>
      <xdr:colOff>581024</xdr:colOff>
      <xdr:row>72</xdr:row>
      <xdr:rowOff>133349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46C540C6-945F-4327-861E-2F90F97DC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95249</xdr:colOff>
      <xdr:row>93</xdr:row>
      <xdr:rowOff>95250</xdr:rowOff>
    </xdr:from>
    <xdr:to>
      <xdr:col>5</xdr:col>
      <xdr:colOff>581025</xdr:colOff>
      <xdr:row>100</xdr:row>
      <xdr:rowOff>180975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ACF5A53A-8969-4947-BA63-16274C0DA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85724</xdr:colOff>
      <xdr:row>101</xdr:row>
      <xdr:rowOff>47624</xdr:rowOff>
    </xdr:from>
    <xdr:to>
      <xdr:col>5</xdr:col>
      <xdr:colOff>581024</xdr:colOff>
      <xdr:row>109</xdr:row>
      <xdr:rowOff>133349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48A0588-9C7D-4E5B-9BE8-CC161569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95249</xdr:colOff>
      <xdr:row>93</xdr:row>
      <xdr:rowOff>95250</xdr:rowOff>
    </xdr:from>
    <xdr:to>
      <xdr:col>12</xdr:col>
      <xdr:colOff>581025</xdr:colOff>
      <xdr:row>100</xdr:row>
      <xdr:rowOff>180975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CC0FF57F-E1DA-40E5-AF05-BEA180451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85724</xdr:colOff>
      <xdr:row>101</xdr:row>
      <xdr:rowOff>47624</xdr:rowOff>
    </xdr:from>
    <xdr:to>
      <xdr:col>12</xdr:col>
      <xdr:colOff>581024</xdr:colOff>
      <xdr:row>109</xdr:row>
      <xdr:rowOff>133349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AD75970-110D-4346-A986-38F5BCE63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95249</xdr:colOff>
      <xdr:row>131</xdr:row>
      <xdr:rowOff>95250</xdr:rowOff>
    </xdr:from>
    <xdr:to>
      <xdr:col>5</xdr:col>
      <xdr:colOff>581025</xdr:colOff>
      <xdr:row>138</xdr:row>
      <xdr:rowOff>180975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1369A072-6253-4165-8429-0B003AA49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85724</xdr:colOff>
      <xdr:row>139</xdr:row>
      <xdr:rowOff>47624</xdr:rowOff>
    </xdr:from>
    <xdr:to>
      <xdr:col>5</xdr:col>
      <xdr:colOff>581024</xdr:colOff>
      <xdr:row>147</xdr:row>
      <xdr:rowOff>133349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709D8EA3-6F29-4713-904B-151F69149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95249</xdr:colOff>
      <xdr:row>131</xdr:row>
      <xdr:rowOff>95250</xdr:rowOff>
    </xdr:from>
    <xdr:to>
      <xdr:col>12</xdr:col>
      <xdr:colOff>581025</xdr:colOff>
      <xdr:row>138</xdr:row>
      <xdr:rowOff>180975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D2278EF6-948B-4F4D-84BB-891387535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85724</xdr:colOff>
      <xdr:row>139</xdr:row>
      <xdr:rowOff>47624</xdr:rowOff>
    </xdr:from>
    <xdr:to>
      <xdr:col>12</xdr:col>
      <xdr:colOff>581024</xdr:colOff>
      <xdr:row>147</xdr:row>
      <xdr:rowOff>133349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B414C88C-4A4C-44EF-8222-AFF81AFF9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95249</xdr:colOff>
      <xdr:row>168</xdr:row>
      <xdr:rowOff>95250</xdr:rowOff>
    </xdr:from>
    <xdr:to>
      <xdr:col>5</xdr:col>
      <xdr:colOff>581025</xdr:colOff>
      <xdr:row>175</xdr:row>
      <xdr:rowOff>180975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6CBC0738-8319-47E0-A386-EECB56344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85724</xdr:colOff>
      <xdr:row>176</xdr:row>
      <xdr:rowOff>47624</xdr:rowOff>
    </xdr:from>
    <xdr:to>
      <xdr:col>5</xdr:col>
      <xdr:colOff>581024</xdr:colOff>
      <xdr:row>184</xdr:row>
      <xdr:rowOff>133349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DD04BA9C-3A66-41F4-B27D-2E90A1494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95249</xdr:colOff>
      <xdr:row>168</xdr:row>
      <xdr:rowOff>95250</xdr:rowOff>
    </xdr:from>
    <xdr:to>
      <xdr:col>12</xdr:col>
      <xdr:colOff>581025</xdr:colOff>
      <xdr:row>175</xdr:row>
      <xdr:rowOff>180975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FE767148-9596-4786-85F3-A634F00E5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85724</xdr:colOff>
      <xdr:row>176</xdr:row>
      <xdr:rowOff>47624</xdr:rowOff>
    </xdr:from>
    <xdr:to>
      <xdr:col>12</xdr:col>
      <xdr:colOff>581024</xdr:colOff>
      <xdr:row>184</xdr:row>
      <xdr:rowOff>133349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B191E1D3-B4D5-4F9F-B388-0EDDF1D57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9</xdr:row>
      <xdr:rowOff>0</xdr:rowOff>
    </xdr:from>
    <xdr:to>
      <xdr:col>16</xdr:col>
      <xdr:colOff>609600</xdr:colOff>
      <xdr:row>25</xdr:row>
      <xdr:rowOff>76200</xdr:rowOff>
    </xdr:to>
    <xdr:grpSp>
      <xdr:nvGrpSpPr>
        <xdr:cNvPr id="10" name="Groupe 9">
          <a:extLst>
            <a:ext uri="{FF2B5EF4-FFF2-40B4-BE49-F238E27FC236}">
              <a16:creationId xmlns:a16="http://schemas.microsoft.com/office/drawing/2014/main" id="{1203FE3C-4503-4BEA-A985-7DDB5D21A0E3}"/>
            </a:ext>
          </a:extLst>
        </xdr:cNvPr>
        <xdr:cNvGrpSpPr/>
      </xdr:nvGrpSpPr>
      <xdr:grpSpPr>
        <a:xfrm>
          <a:off x="9467850" y="1714500"/>
          <a:ext cx="5105400" cy="3124200"/>
          <a:chOff x="11106150" y="685800"/>
          <a:chExt cx="5105400" cy="3124200"/>
        </a:xfrm>
      </xdr:grpSpPr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F75FEFC-3CE4-401F-A48B-5DC787D1806E}"/>
              </a:ext>
            </a:extLst>
          </xdr:cNvPr>
          <xdr:cNvGraphicFramePr/>
        </xdr:nvGraphicFramePr>
        <xdr:xfrm>
          <a:off x="11106150" y="685800"/>
          <a:ext cx="5105400" cy="3124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FEE62604-0B14-4F9D-9008-14A57445CF4B}"/>
              </a:ext>
            </a:extLst>
          </xdr:cNvPr>
          <xdr:cNvSpPr/>
        </xdr:nvSpPr>
        <xdr:spPr>
          <a:xfrm>
            <a:off x="14554200" y="1295400"/>
            <a:ext cx="1152525" cy="1952625"/>
          </a:xfrm>
          <a:prstGeom prst="rect">
            <a:avLst/>
          </a:prstGeom>
          <a:noFill/>
          <a:ln w="50800">
            <a:solidFill>
              <a:srgbClr val="FF0000">
                <a:alpha val="32000"/>
              </a:srgb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</xdr:grpSp>
    <xdr:clientData/>
  </xdr:twoCellAnchor>
  <xdr:twoCellAnchor>
    <xdr:from>
      <xdr:col>11</xdr:col>
      <xdr:colOff>0</xdr:colOff>
      <xdr:row>40</xdr:row>
      <xdr:rowOff>0</xdr:rowOff>
    </xdr:from>
    <xdr:to>
      <xdr:col>16</xdr:col>
      <xdr:colOff>495300</xdr:colOff>
      <xdr:row>56</xdr:row>
      <xdr:rowOff>76200</xdr:rowOff>
    </xdr:to>
    <xdr:grpSp>
      <xdr:nvGrpSpPr>
        <xdr:cNvPr id="11" name="Groupe 10">
          <a:extLst>
            <a:ext uri="{FF2B5EF4-FFF2-40B4-BE49-F238E27FC236}">
              <a16:creationId xmlns:a16="http://schemas.microsoft.com/office/drawing/2014/main" id="{467864C7-CB86-4AB9-9D72-E478E1A83E31}"/>
            </a:ext>
          </a:extLst>
        </xdr:cNvPr>
        <xdr:cNvGrpSpPr/>
      </xdr:nvGrpSpPr>
      <xdr:grpSpPr>
        <a:xfrm>
          <a:off x="9353550" y="7620000"/>
          <a:ext cx="5105400" cy="3124200"/>
          <a:chOff x="11106150" y="685800"/>
          <a:chExt cx="5105400" cy="3124200"/>
        </a:xfrm>
      </xdr:grpSpPr>
      <xdr:graphicFrame macro="">
        <xdr:nvGraphicFramePr>
          <xdr:cNvPr id="12" name="Graphique 11">
            <a:extLst>
              <a:ext uri="{FF2B5EF4-FFF2-40B4-BE49-F238E27FC236}">
                <a16:creationId xmlns:a16="http://schemas.microsoft.com/office/drawing/2014/main" id="{587583CC-0776-4D43-9178-B46FEDC57B0E}"/>
              </a:ext>
            </a:extLst>
          </xdr:cNvPr>
          <xdr:cNvGraphicFramePr/>
        </xdr:nvGraphicFramePr>
        <xdr:xfrm>
          <a:off x="11106150" y="685800"/>
          <a:ext cx="5105400" cy="3124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FB112ACF-723F-44A7-B34E-CB6AB1108C3A}"/>
              </a:ext>
            </a:extLst>
          </xdr:cNvPr>
          <xdr:cNvSpPr/>
        </xdr:nvSpPr>
        <xdr:spPr>
          <a:xfrm>
            <a:off x="14554200" y="1295400"/>
            <a:ext cx="1152525" cy="1952625"/>
          </a:xfrm>
          <a:prstGeom prst="rect">
            <a:avLst/>
          </a:prstGeom>
          <a:noFill/>
          <a:ln w="50800">
            <a:solidFill>
              <a:srgbClr val="FF0000">
                <a:alpha val="32000"/>
              </a:srgb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</xdr:grpSp>
    <xdr:clientData/>
  </xdr:twoCellAnchor>
  <xdr:twoCellAnchor>
    <xdr:from>
      <xdr:col>11</xdr:col>
      <xdr:colOff>0</xdr:colOff>
      <xdr:row>71</xdr:row>
      <xdr:rowOff>0</xdr:rowOff>
    </xdr:from>
    <xdr:to>
      <xdr:col>16</xdr:col>
      <xdr:colOff>495300</xdr:colOff>
      <xdr:row>87</xdr:row>
      <xdr:rowOff>76200</xdr:rowOff>
    </xdr:to>
    <xdr:grpSp>
      <xdr:nvGrpSpPr>
        <xdr:cNvPr id="14" name="Groupe 13">
          <a:extLst>
            <a:ext uri="{FF2B5EF4-FFF2-40B4-BE49-F238E27FC236}">
              <a16:creationId xmlns:a16="http://schemas.microsoft.com/office/drawing/2014/main" id="{DE589802-BF63-462A-92FA-E44A58A910F4}"/>
            </a:ext>
          </a:extLst>
        </xdr:cNvPr>
        <xdr:cNvGrpSpPr/>
      </xdr:nvGrpSpPr>
      <xdr:grpSpPr>
        <a:xfrm>
          <a:off x="9353550" y="13525500"/>
          <a:ext cx="5105400" cy="3124200"/>
          <a:chOff x="11106150" y="685800"/>
          <a:chExt cx="5105400" cy="3124200"/>
        </a:xfrm>
      </xdr:grpSpPr>
      <xdr:graphicFrame macro="">
        <xdr:nvGraphicFramePr>
          <xdr:cNvPr id="15" name="Graphique 14">
            <a:extLst>
              <a:ext uri="{FF2B5EF4-FFF2-40B4-BE49-F238E27FC236}">
                <a16:creationId xmlns:a16="http://schemas.microsoft.com/office/drawing/2014/main" id="{0AF84557-624C-42B0-AC6E-F0DFD164252E}"/>
              </a:ext>
            </a:extLst>
          </xdr:cNvPr>
          <xdr:cNvGraphicFramePr/>
        </xdr:nvGraphicFramePr>
        <xdr:xfrm>
          <a:off x="11106150" y="685800"/>
          <a:ext cx="5105400" cy="3124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C94E1A18-6157-4C48-87D1-E6E0FF498742}"/>
              </a:ext>
            </a:extLst>
          </xdr:cNvPr>
          <xdr:cNvSpPr/>
        </xdr:nvSpPr>
        <xdr:spPr>
          <a:xfrm>
            <a:off x="14554200" y="1295400"/>
            <a:ext cx="1152525" cy="1952625"/>
          </a:xfrm>
          <a:prstGeom prst="rect">
            <a:avLst/>
          </a:prstGeom>
          <a:noFill/>
          <a:ln w="50800">
            <a:solidFill>
              <a:srgbClr val="FF0000">
                <a:alpha val="32000"/>
              </a:srgb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5EC8-56F2-45C8-9ACE-1818E73C8960}">
  <dimension ref="B1:M41"/>
  <sheetViews>
    <sheetView tabSelected="1" workbookViewId="0">
      <selection activeCell="L6" sqref="L6"/>
    </sheetView>
  </sheetViews>
  <sheetFormatPr baseColWidth="10" defaultColWidth="11.42578125" defaultRowHeight="15" x14ac:dyDescent="0.25"/>
  <cols>
    <col min="1" max="1" width="3" style="1" customWidth="1"/>
    <col min="2" max="2" width="35" style="17" customWidth="1"/>
    <col min="3" max="3" width="5.85546875" style="5" customWidth="1"/>
    <col min="4" max="4" width="9" style="2" bestFit="1" customWidth="1"/>
    <col min="5" max="5" width="2.5703125" style="1" customWidth="1"/>
    <col min="6" max="6" width="7.7109375" style="5" customWidth="1"/>
    <col min="7" max="7" width="2.5703125" style="1" customWidth="1"/>
    <col min="8" max="8" width="50.28515625" style="4" customWidth="1"/>
    <col min="9" max="9" width="12" style="2" hidden="1" customWidth="1"/>
    <col min="10" max="10" width="91.5703125" style="6" hidden="1" customWidth="1"/>
    <col min="11" max="16384" width="11.42578125" style="1"/>
  </cols>
  <sheetData>
    <row r="1" spans="2:12" s="9" customFormat="1" ht="30" x14ac:dyDescent="0.25">
      <c r="B1" s="74" t="s">
        <v>74</v>
      </c>
      <c r="C1" s="7"/>
      <c r="D1" s="8" t="s">
        <v>9</v>
      </c>
      <c r="F1" s="7" t="s">
        <v>15</v>
      </c>
      <c r="H1" s="10" t="s">
        <v>10</v>
      </c>
      <c r="I1" s="51" t="s">
        <v>11</v>
      </c>
      <c r="J1" s="22"/>
      <c r="L1" s="23"/>
    </row>
    <row r="2" spans="2:12" s="9" customFormat="1" x14ac:dyDescent="0.25">
      <c r="B2" s="7"/>
      <c r="C2" s="7"/>
      <c r="D2" s="8"/>
      <c r="F2" s="7"/>
      <c r="H2" s="10"/>
      <c r="I2" s="51"/>
      <c r="J2" s="22"/>
      <c r="L2" s="23"/>
    </row>
    <row r="3" spans="2:12" x14ac:dyDescent="0.25">
      <c r="B3" s="17" t="s">
        <v>28</v>
      </c>
      <c r="C3" s="5" t="s">
        <v>2</v>
      </c>
      <c r="D3" s="16">
        <v>1</v>
      </c>
      <c r="F3" s="27"/>
      <c r="G3" s="25"/>
      <c r="H3" s="29" t="s">
        <v>19</v>
      </c>
      <c r="I3" s="28">
        <f>10840+(D3*2250)</f>
        <v>13090</v>
      </c>
      <c r="J3" s="24" t="s">
        <v>13</v>
      </c>
      <c r="L3" s="25"/>
    </row>
    <row r="4" spans="2:12" x14ac:dyDescent="0.25">
      <c r="F4" s="27"/>
      <c r="G4" s="25"/>
      <c r="H4" s="29"/>
      <c r="I4" s="28">
        <f>1+(D3*0.067)</f>
        <v>1.0669999999999999</v>
      </c>
      <c r="J4" s="24" t="s">
        <v>172</v>
      </c>
      <c r="L4" s="25"/>
    </row>
    <row r="5" spans="2:12" x14ac:dyDescent="0.25">
      <c r="B5" s="17" t="s">
        <v>107</v>
      </c>
      <c r="C5" s="5" t="s">
        <v>2</v>
      </c>
      <c r="D5" s="16">
        <v>2</v>
      </c>
      <c r="F5" s="27"/>
      <c r="G5" s="25"/>
      <c r="H5" s="29" t="s">
        <v>18</v>
      </c>
      <c r="I5" s="28">
        <f>I4+(D5*0.06)</f>
        <v>1.1869999999999998</v>
      </c>
      <c r="J5" s="24" t="s">
        <v>173</v>
      </c>
      <c r="L5" s="25"/>
    </row>
    <row r="6" spans="2:12" x14ac:dyDescent="0.25">
      <c r="F6" s="27"/>
      <c r="G6" s="25"/>
      <c r="H6" s="29"/>
      <c r="I6" s="28">
        <f>(D7/100)*I3</f>
        <v>13090</v>
      </c>
      <c r="J6" s="24" t="s">
        <v>66</v>
      </c>
      <c r="K6" s="25"/>
      <c r="L6" s="25"/>
    </row>
    <row r="7" spans="2:12" x14ac:dyDescent="0.25">
      <c r="B7" s="17" t="s">
        <v>4</v>
      </c>
      <c r="C7" s="5" t="s">
        <v>3</v>
      </c>
      <c r="D7" s="16">
        <v>100</v>
      </c>
      <c r="F7" s="27"/>
      <c r="G7" s="25"/>
      <c r="H7" s="29" t="s">
        <v>108</v>
      </c>
      <c r="I7" s="2">
        <v>1100</v>
      </c>
      <c r="J7" s="6" t="s">
        <v>178</v>
      </c>
      <c r="K7" s="25"/>
      <c r="L7" s="25"/>
    </row>
    <row r="8" spans="2:12" x14ac:dyDescent="0.25">
      <c r="F8" s="27"/>
      <c r="G8" s="25"/>
      <c r="H8" s="29"/>
      <c r="I8" s="28">
        <v>20</v>
      </c>
      <c r="J8" s="24" t="s">
        <v>174</v>
      </c>
      <c r="K8" s="25"/>
      <c r="L8" s="25"/>
    </row>
    <row r="9" spans="2:12" x14ac:dyDescent="0.25">
      <c r="B9" s="17" t="s">
        <v>29</v>
      </c>
      <c r="C9" s="5" t="s">
        <v>6</v>
      </c>
      <c r="D9" s="16">
        <v>100</v>
      </c>
      <c r="F9" s="27"/>
      <c r="G9" s="25"/>
      <c r="H9" s="29" t="s">
        <v>17</v>
      </c>
      <c r="I9" s="53">
        <f>D9*I5</f>
        <v>118.69999999999999</v>
      </c>
      <c r="J9" s="24" t="s">
        <v>12</v>
      </c>
      <c r="K9" s="25"/>
      <c r="L9" s="25"/>
    </row>
    <row r="10" spans="2:12" x14ac:dyDescent="0.25">
      <c r="D10" s="5"/>
      <c r="F10" s="27"/>
      <c r="G10" s="25"/>
      <c r="H10" s="29"/>
      <c r="I10" s="28"/>
      <c r="J10" s="24"/>
      <c r="K10" s="25"/>
      <c r="L10" s="25"/>
    </row>
    <row r="11" spans="2:12" x14ac:dyDescent="0.25">
      <c r="B11" s="17" t="s">
        <v>24</v>
      </c>
      <c r="C11" s="5" t="s">
        <v>5</v>
      </c>
      <c r="D11" s="16">
        <v>10</v>
      </c>
      <c r="F11" s="27"/>
      <c r="G11" s="25"/>
      <c r="H11" s="29" t="s">
        <v>180</v>
      </c>
      <c r="I11" s="53">
        <f>I9+(I9*(D11*0.0102857))</f>
        <v>130.90912589999999</v>
      </c>
      <c r="J11" s="24" t="s">
        <v>101</v>
      </c>
      <c r="K11" s="25"/>
      <c r="L11" s="25"/>
    </row>
    <row r="12" spans="2:12" x14ac:dyDescent="0.25">
      <c r="F12" s="27"/>
      <c r="G12" s="25"/>
      <c r="H12" s="29"/>
      <c r="I12" s="72">
        <v>2.8571428571428498E-4</v>
      </c>
      <c r="J12" s="3" t="s">
        <v>65</v>
      </c>
      <c r="K12" s="25"/>
      <c r="L12" s="25"/>
    </row>
    <row r="13" spans="2:12" x14ac:dyDescent="0.25">
      <c r="B13" s="17" t="s">
        <v>30</v>
      </c>
      <c r="C13" s="5" t="s">
        <v>27</v>
      </c>
      <c r="D13" s="21">
        <v>12000</v>
      </c>
      <c r="F13" s="27"/>
      <c r="G13" s="25"/>
      <c r="H13" s="29" t="s">
        <v>179</v>
      </c>
      <c r="I13" s="53">
        <f>I8-(I12*D13)</f>
        <v>16.57142857142858</v>
      </c>
      <c r="J13" s="6" t="s">
        <v>71</v>
      </c>
      <c r="K13" s="25"/>
      <c r="L13" s="25"/>
    </row>
    <row r="14" spans="2:12" ht="15.75" thickBot="1" x14ac:dyDescent="0.3">
      <c r="D14" s="5"/>
      <c r="F14" s="27"/>
      <c r="G14" s="25"/>
      <c r="H14" s="29"/>
      <c r="I14" s="53">
        <f>IF(0.04*D13&lt;=0,0,0.04*D13)</f>
        <v>480</v>
      </c>
      <c r="J14" s="6" t="s">
        <v>183</v>
      </c>
      <c r="K14" s="25"/>
      <c r="L14" s="25"/>
    </row>
    <row r="15" spans="2:12" x14ac:dyDescent="0.25">
      <c r="B15" s="18" t="s">
        <v>109</v>
      </c>
      <c r="C15" s="11"/>
      <c r="D15" s="75"/>
      <c r="E15" s="12"/>
      <c r="F15" s="77">
        <f>MROUND(I6-I7-I17-I14,100)</f>
        <v>9300</v>
      </c>
      <c r="G15" s="57"/>
      <c r="H15" s="58" t="s">
        <v>76</v>
      </c>
      <c r="I15" s="52"/>
      <c r="K15" s="25"/>
      <c r="L15" s="25"/>
    </row>
    <row r="16" spans="2:12" x14ac:dyDescent="0.25">
      <c r="B16" s="19"/>
      <c r="C16" s="13"/>
      <c r="D16" s="14"/>
      <c r="E16" s="15"/>
      <c r="F16" s="14"/>
      <c r="G16" s="60"/>
      <c r="H16" s="61"/>
      <c r="I16" s="53">
        <f>IF(0.04*(D17-D13)&lt;=0,0,(0.04*(D17-D7)))</f>
        <v>0</v>
      </c>
      <c r="J16" s="24" t="s">
        <v>183</v>
      </c>
      <c r="K16" s="25"/>
      <c r="L16" s="25"/>
    </row>
    <row r="17" spans="2:13" x14ac:dyDescent="0.25">
      <c r="B17" s="19" t="s">
        <v>26</v>
      </c>
      <c r="C17" s="13" t="s">
        <v>27</v>
      </c>
      <c r="D17" s="21">
        <v>8000</v>
      </c>
      <c r="E17" s="15"/>
      <c r="F17" s="59"/>
      <c r="G17" s="60"/>
      <c r="H17" s="61" t="s">
        <v>104</v>
      </c>
      <c r="I17" s="53">
        <f>I13*I11</f>
        <v>2169.3512292000009</v>
      </c>
      <c r="J17" s="24" t="s">
        <v>184</v>
      </c>
      <c r="K17" s="25"/>
      <c r="L17" s="25"/>
    </row>
    <row r="18" spans="2:13" ht="15.75" thickBot="1" x14ac:dyDescent="0.3">
      <c r="B18" s="19"/>
      <c r="C18" s="13"/>
      <c r="D18" s="14"/>
      <c r="E18" s="15"/>
      <c r="F18" s="59"/>
      <c r="G18" s="60"/>
      <c r="H18" s="61"/>
      <c r="I18" s="53">
        <f>F15-F21</f>
        <v>4000</v>
      </c>
      <c r="J18" s="24" t="s">
        <v>67</v>
      </c>
      <c r="K18" s="25"/>
      <c r="L18" s="25"/>
    </row>
    <row r="19" spans="2:13" ht="15.75" thickBot="1" x14ac:dyDescent="0.3">
      <c r="B19" s="19"/>
      <c r="C19" s="124" t="s">
        <v>23</v>
      </c>
      <c r="D19" s="125"/>
      <c r="E19" s="76"/>
      <c r="F19" s="138">
        <f>ROUND(I18/I21,0)</f>
        <v>33</v>
      </c>
      <c r="G19" s="60"/>
      <c r="H19" s="61" t="s">
        <v>103</v>
      </c>
      <c r="I19" s="53">
        <v>103</v>
      </c>
      <c r="J19" s="24" t="s">
        <v>68</v>
      </c>
      <c r="K19" s="25"/>
      <c r="L19" s="25"/>
    </row>
    <row r="20" spans="2:13" ht="15.75" thickBot="1" x14ac:dyDescent="0.3">
      <c r="B20" s="19"/>
      <c r="C20" s="55"/>
      <c r="D20" s="56"/>
      <c r="E20" s="15"/>
      <c r="F20" s="59"/>
      <c r="G20" s="60"/>
      <c r="H20" s="61"/>
      <c r="I20" s="53">
        <f>(I19*I5)</f>
        <v>122.26099999999998</v>
      </c>
      <c r="J20" s="24" t="s">
        <v>69</v>
      </c>
      <c r="K20" s="25"/>
      <c r="L20" s="25"/>
    </row>
    <row r="21" spans="2:13" ht="15.75" thickBot="1" x14ac:dyDescent="0.3">
      <c r="B21" s="20"/>
      <c r="C21" s="126" t="s">
        <v>16</v>
      </c>
      <c r="D21" s="127"/>
      <c r="E21" s="78"/>
      <c r="F21" s="79">
        <f>MROUND(F23+I16,100)</f>
        <v>5300</v>
      </c>
      <c r="G21" s="62"/>
      <c r="H21" s="63" t="s">
        <v>110</v>
      </c>
      <c r="I21" s="53">
        <f>I20-(I12*D17)</f>
        <v>119.9752857142857</v>
      </c>
      <c r="J21" s="6" t="s">
        <v>70</v>
      </c>
      <c r="K21" s="25"/>
      <c r="L21" s="25"/>
    </row>
    <row r="22" spans="2:13" x14ac:dyDescent="0.25">
      <c r="F22" s="27"/>
      <c r="G22" s="25"/>
      <c r="H22" s="29"/>
      <c r="I22" s="28"/>
      <c r="J22" s="24"/>
      <c r="K22" s="25"/>
      <c r="L22" s="25"/>
    </row>
    <row r="23" spans="2:13" x14ac:dyDescent="0.25">
      <c r="B23" s="17" t="s">
        <v>25</v>
      </c>
      <c r="C23" s="5" t="s">
        <v>7</v>
      </c>
      <c r="D23" s="16">
        <v>5</v>
      </c>
      <c r="F23" s="136">
        <f>F25+I23</f>
        <v>5334.3040647619055</v>
      </c>
      <c r="G23" s="25"/>
      <c r="H23" s="29" t="s">
        <v>102</v>
      </c>
      <c r="I23" s="53">
        <f>IF(D23&gt;1,(I20*(D23-2))+((34000/60)*2),0)</f>
        <v>1500.1163333333332</v>
      </c>
      <c r="J23" s="24" t="s">
        <v>72</v>
      </c>
      <c r="K23" s="25"/>
      <c r="L23" s="25"/>
    </row>
    <row r="24" spans="2:13" x14ac:dyDescent="0.25">
      <c r="F24" s="137"/>
      <c r="G24" s="25"/>
      <c r="H24" s="29"/>
      <c r="J24" s="24"/>
      <c r="K24" s="25"/>
      <c r="L24" s="25"/>
    </row>
    <row r="25" spans="2:13" x14ac:dyDescent="0.25">
      <c r="B25" s="17" t="s">
        <v>22</v>
      </c>
      <c r="C25" s="5" t="s">
        <v>6</v>
      </c>
      <c r="D25" s="16">
        <v>100</v>
      </c>
      <c r="F25" s="136">
        <f>F27+I25</f>
        <v>3834.1877314285721</v>
      </c>
      <c r="G25" s="25"/>
      <c r="H25" s="29" t="s">
        <v>21</v>
      </c>
      <c r="I25" s="53">
        <f>I27*(D25+(D11*0.102857))</f>
        <v>1674.1877314285723</v>
      </c>
      <c r="J25" s="24" t="s">
        <v>73</v>
      </c>
      <c r="K25" s="25"/>
      <c r="L25" s="25"/>
    </row>
    <row r="26" spans="2:13" x14ac:dyDescent="0.25">
      <c r="F26" s="137"/>
      <c r="G26" s="25"/>
      <c r="H26" s="29"/>
      <c r="I26" s="53">
        <f>IF(0.04*(D27-D17)&lt;=0,0,(0.04*(D27-D17)))</f>
        <v>160</v>
      </c>
      <c r="J26" s="24" t="s">
        <v>183</v>
      </c>
      <c r="K26" s="25"/>
      <c r="L26" s="25"/>
    </row>
    <row r="27" spans="2:13" x14ac:dyDescent="0.25">
      <c r="B27" s="17" t="s">
        <v>181</v>
      </c>
      <c r="C27" s="5" t="s">
        <v>27</v>
      </c>
      <c r="D27" s="21">
        <v>12000</v>
      </c>
      <c r="F27" s="136">
        <f>F29+I26</f>
        <v>2160</v>
      </c>
      <c r="G27" s="25"/>
      <c r="H27" s="29" t="s">
        <v>179</v>
      </c>
      <c r="I27" s="72">
        <f>I8-(I12*D27)</f>
        <v>16.57142857142858</v>
      </c>
      <c r="J27" s="6" t="s">
        <v>71</v>
      </c>
      <c r="K27" s="25"/>
      <c r="L27" s="25"/>
    </row>
    <row r="28" spans="2:13" ht="15.75" thickBot="1" x14ac:dyDescent="0.3">
      <c r="F28" s="27"/>
      <c r="G28" s="25"/>
      <c r="H28" s="29"/>
      <c r="I28" s="53"/>
      <c r="K28" s="25"/>
      <c r="L28" s="25"/>
    </row>
    <row r="29" spans="2:13" ht="15.75" thickBot="1" x14ac:dyDescent="0.3">
      <c r="B29" s="17" t="s">
        <v>0</v>
      </c>
      <c r="C29" s="5" t="s">
        <v>6</v>
      </c>
      <c r="D29" s="16">
        <v>35</v>
      </c>
      <c r="F29" s="79">
        <f>MROUND(I31+I29,100)</f>
        <v>2000</v>
      </c>
      <c r="G29" s="25"/>
      <c r="H29" s="29" t="s">
        <v>20</v>
      </c>
      <c r="I29" s="53">
        <f>I8*I30</f>
        <v>830.89999999999986</v>
      </c>
      <c r="J29" s="24" t="s">
        <v>14</v>
      </c>
      <c r="K29" s="25"/>
      <c r="L29" s="25"/>
    </row>
    <row r="30" spans="2:13" x14ac:dyDescent="0.25">
      <c r="F30" s="27"/>
      <c r="G30" s="25"/>
      <c r="H30" s="29"/>
      <c r="I30" s="53">
        <f>D29*I5</f>
        <v>41.544999999999995</v>
      </c>
      <c r="J30" s="24" t="s">
        <v>12</v>
      </c>
      <c r="K30" s="25"/>
      <c r="L30" s="25"/>
    </row>
    <row r="31" spans="2:13" x14ac:dyDescent="0.25">
      <c r="B31" s="17" t="s">
        <v>1</v>
      </c>
      <c r="C31" s="5" t="s">
        <v>8</v>
      </c>
      <c r="D31" s="16">
        <v>1200</v>
      </c>
      <c r="F31" s="27"/>
      <c r="G31" s="25"/>
      <c r="H31" s="29" t="s">
        <v>105</v>
      </c>
      <c r="I31" s="28">
        <f>D31</f>
        <v>1200</v>
      </c>
      <c r="J31" s="24"/>
      <c r="K31" s="25"/>
      <c r="L31" s="25"/>
    </row>
    <row r="32" spans="2:13" x14ac:dyDescent="0.25">
      <c r="B32" s="26"/>
      <c r="C32" s="27"/>
      <c r="D32" s="28"/>
      <c r="E32" s="25"/>
      <c r="F32" s="27"/>
      <c r="G32" s="25"/>
      <c r="H32" s="29"/>
      <c r="I32" s="28"/>
      <c r="J32" s="24"/>
      <c r="K32" s="25"/>
      <c r="L32" s="25"/>
      <c r="M32" s="25"/>
    </row>
    <row r="33" spans="2:13" ht="22.5" x14ac:dyDescent="0.25">
      <c r="B33" s="54" t="s">
        <v>75</v>
      </c>
      <c r="C33" s="27"/>
      <c r="D33" s="28"/>
      <c r="E33" s="25"/>
      <c r="F33" s="64"/>
      <c r="G33" s="25"/>
      <c r="H33" s="29"/>
      <c r="I33" s="28"/>
      <c r="J33" s="24"/>
      <c r="K33" s="25"/>
      <c r="L33" s="25"/>
      <c r="M33" s="25"/>
    </row>
    <row r="34" spans="2:13" x14ac:dyDescent="0.25">
      <c r="B34" s="26"/>
      <c r="C34" s="27"/>
      <c r="D34" s="28"/>
      <c r="E34" s="25"/>
      <c r="F34" s="27"/>
      <c r="G34" s="25"/>
      <c r="H34" s="29"/>
      <c r="I34" s="28"/>
      <c r="J34" s="24"/>
      <c r="K34" s="25"/>
      <c r="L34" s="25"/>
      <c r="M34" s="25"/>
    </row>
    <row r="35" spans="2:13" x14ac:dyDescent="0.25">
      <c r="B35" s="23" t="s">
        <v>77</v>
      </c>
      <c r="C35" s="27"/>
      <c r="D35" s="28"/>
      <c r="E35" s="25"/>
      <c r="F35" s="27"/>
      <c r="G35" s="25"/>
      <c r="H35" s="29"/>
      <c r="I35" s="28"/>
      <c r="J35" s="24"/>
      <c r="K35" s="25"/>
      <c r="L35" s="25"/>
      <c r="M35" s="25"/>
    </row>
    <row r="36" spans="2:13" x14ac:dyDescent="0.25">
      <c r="B36" s="25" t="s">
        <v>78</v>
      </c>
      <c r="C36" s="27"/>
      <c r="D36" s="28"/>
      <c r="E36" s="25"/>
      <c r="F36" s="27"/>
      <c r="G36" s="25"/>
      <c r="H36" s="29"/>
      <c r="I36" s="28"/>
      <c r="J36" s="24"/>
      <c r="K36" s="25"/>
      <c r="L36" s="25"/>
      <c r="M36" s="25"/>
    </row>
    <row r="37" spans="2:13" x14ac:dyDescent="0.25">
      <c r="B37" s="25" t="s">
        <v>79</v>
      </c>
      <c r="C37" s="27"/>
      <c r="D37" s="28"/>
      <c r="E37" s="25"/>
      <c r="F37" s="27"/>
      <c r="G37" s="25"/>
      <c r="H37" s="29"/>
      <c r="I37" s="28"/>
      <c r="J37" s="24"/>
      <c r="K37" s="25"/>
      <c r="L37" s="25"/>
      <c r="M37" s="25"/>
    </row>
    <row r="38" spans="2:13" x14ac:dyDescent="0.25">
      <c r="B38" s="25" t="s">
        <v>106</v>
      </c>
      <c r="C38" s="27"/>
      <c r="D38" s="28"/>
      <c r="E38" s="25"/>
      <c r="F38" s="27"/>
      <c r="G38" s="25"/>
      <c r="H38" s="29"/>
      <c r="I38" s="28"/>
      <c r="J38" s="24"/>
      <c r="K38" s="25"/>
      <c r="L38" s="25"/>
      <c r="M38" s="25"/>
    </row>
    <row r="39" spans="2:13" x14ac:dyDescent="0.25">
      <c r="B39" s="25" t="s">
        <v>182</v>
      </c>
      <c r="C39" s="27"/>
      <c r="D39" s="28"/>
      <c r="E39" s="25"/>
      <c r="F39" s="27"/>
      <c r="G39" s="25"/>
      <c r="H39" s="29"/>
      <c r="I39" s="28"/>
      <c r="J39" s="24"/>
      <c r="K39" s="25"/>
      <c r="L39" s="25"/>
      <c r="M39" s="25"/>
    </row>
    <row r="40" spans="2:13" x14ac:dyDescent="0.25">
      <c r="B40" s="25" t="s">
        <v>185</v>
      </c>
      <c r="C40" s="27"/>
      <c r="D40" s="28"/>
      <c r="E40" s="25"/>
      <c r="F40" s="27"/>
      <c r="G40" s="25"/>
      <c r="H40" s="29"/>
      <c r="I40" s="28"/>
      <c r="J40" s="24"/>
      <c r="K40" s="25"/>
      <c r="L40" s="25"/>
      <c r="M40" s="25"/>
    </row>
    <row r="41" spans="2:13" x14ac:dyDescent="0.25">
      <c r="B41" s="25" t="s">
        <v>186</v>
      </c>
    </row>
  </sheetData>
  <protectedRanges>
    <protectedRange sqref="D3 D5 D7 D9:D11 D13:D14 D17 D23 D25 D31 D29" name="Entrées pilote"/>
  </protectedRanges>
  <mergeCells count="2">
    <mergeCell ref="C19:D19"/>
    <mergeCell ref="C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1DE1-EAB9-45B2-B2FC-93744FA5E6BA}">
  <dimension ref="A1:AB185"/>
  <sheetViews>
    <sheetView workbookViewId="0">
      <selection activeCell="M5" sqref="M5"/>
    </sheetView>
  </sheetViews>
  <sheetFormatPr baseColWidth="10" defaultRowHeight="15" x14ac:dyDescent="0.25"/>
  <cols>
    <col min="5" max="5" width="13.28515625" bestFit="1" customWidth="1"/>
    <col min="17" max="17" width="13.7109375" style="31" bestFit="1" customWidth="1"/>
    <col min="18" max="18" width="11.42578125" style="31"/>
    <col min="22" max="22" width="13.7109375" style="31" bestFit="1" customWidth="1"/>
    <col min="23" max="23" width="11.42578125" style="31"/>
    <col min="24" max="24" width="5.28515625" style="31" bestFit="1" customWidth="1"/>
    <col min="25" max="25" width="21.7109375" bestFit="1" customWidth="1"/>
  </cols>
  <sheetData>
    <row r="1" spans="1:28" ht="32.25" thickBot="1" x14ac:dyDescent="0.4">
      <c r="A1" s="71" t="s">
        <v>95</v>
      </c>
      <c r="B1" s="70" t="s">
        <v>80</v>
      </c>
      <c r="C1" s="70" t="s">
        <v>81</v>
      </c>
      <c r="D1" s="70" t="s">
        <v>82</v>
      </c>
      <c r="H1" s="71" t="s">
        <v>139</v>
      </c>
      <c r="I1" s="70" t="s">
        <v>96</v>
      </c>
      <c r="J1" s="70" t="s">
        <v>96</v>
      </c>
      <c r="K1" s="70" t="s">
        <v>82</v>
      </c>
      <c r="Q1" s="105" t="s">
        <v>143</v>
      </c>
      <c r="R1" s="105" t="s">
        <v>144</v>
      </c>
      <c r="S1" s="102" t="s">
        <v>151</v>
      </c>
    </row>
    <row r="2" spans="1:28" x14ac:dyDescent="0.25">
      <c r="O2" s="128" t="s">
        <v>147</v>
      </c>
      <c r="P2" s="85" t="s">
        <v>146</v>
      </c>
      <c r="Q2" s="109">
        <v>10</v>
      </c>
      <c r="R2" s="107">
        <v>25</v>
      </c>
    </row>
    <row r="3" spans="1:28" x14ac:dyDescent="0.25">
      <c r="C3" s="65" t="s">
        <v>86</v>
      </c>
      <c r="D3" s="65" t="s">
        <v>63</v>
      </c>
      <c r="E3" s="65" t="s">
        <v>87</v>
      </c>
      <c r="F3" s="65" t="s">
        <v>88</v>
      </c>
      <c r="J3" s="66" t="s">
        <v>86</v>
      </c>
      <c r="K3" s="66" t="s">
        <v>63</v>
      </c>
      <c r="L3" s="66" t="s">
        <v>87</v>
      </c>
      <c r="M3" s="66" t="s">
        <v>88</v>
      </c>
      <c r="O3" s="129"/>
      <c r="P3" s="88" t="s">
        <v>140</v>
      </c>
      <c r="Q3" s="93">
        <v>8</v>
      </c>
      <c r="R3" s="96">
        <v>20</v>
      </c>
    </row>
    <row r="4" spans="1:28" x14ac:dyDescent="0.25">
      <c r="A4" s="68" t="s">
        <v>83</v>
      </c>
      <c r="B4" s="65" t="s">
        <v>84</v>
      </c>
      <c r="C4" s="31">
        <v>4000</v>
      </c>
      <c r="D4" s="31">
        <v>335</v>
      </c>
      <c r="E4" s="69">
        <f>(2*C4)/D4</f>
        <v>23.880597014925375</v>
      </c>
      <c r="F4" s="69">
        <f>(2*C4)/60</f>
        <v>133.33333333333334</v>
      </c>
      <c r="H4" s="68" t="s">
        <v>83</v>
      </c>
      <c r="I4" s="66" t="s">
        <v>97</v>
      </c>
      <c r="J4" s="31">
        <v>3500</v>
      </c>
      <c r="K4" s="31">
        <v>346</v>
      </c>
      <c r="L4" s="69">
        <f>(2*J4)/K4</f>
        <v>20.23121387283237</v>
      </c>
      <c r="M4" s="69">
        <f>(2*J4)/60</f>
        <v>116.66666666666667</v>
      </c>
      <c r="O4" s="129"/>
      <c r="P4" s="88" t="s">
        <v>141</v>
      </c>
      <c r="Q4" s="93">
        <v>9</v>
      </c>
      <c r="R4" s="96">
        <v>33</v>
      </c>
    </row>
    <row r="5" spans="1:28" ht="15.75" thickBot="1" x14ac:dyDescent="0.3">
      <c r="B5" s="65" t="s">
        <v>85</v>
      </c>
      <c r="C5" s="31">
        <v>3300</v>
      </c>
      <c r="D5" s="31">
        <v>247</v>
      </c>
      <c r="E5" s="69">
        <f>(2*C5)/D5</f>
        <v>26.720647773279353</v>
      </c>
      <c r="F5" s="31">
        <f>(2*C5)/60</f>
        <v>110</v>
      </c>
      <c r="I5" s="66" t="s">
        <v>98</v>
      </c>
      <c r="J5" s="31">
        <v>3100</v>
      </c>
      <c r="K5" s="31">
        <v>265</v>
      </c>
      <c r="L5" s="69">
        <f>(2*J5)/K5</f>
        <v>23.39622641509434</v>
      </c>
      <c r="M5" s="69">
        <f>(2*J5)/60</f>
        <v>103.33333333333333</v>
      </c>
      <c r="O5" s="130"/>
      <c r="P5" s="99" t="s">
        <v>142</v>
      </c>
      <c r="Q5" s="110">
        <v>9</v>
      </c>
      <c r="R5" s="108">
        <v>21</v>
      </c>
    </row>
    <row r="6" spans="1:28" ht="15.75" thickBot="1" x14ac:dyDescent="0.3">
      <c r="C6" s="65" t="s">
        <v>86</v>
      </c>
      <c r="D6" s="65" t="s">
        <v>63</v>
      </c>
      <c r="E6" s="65" t="s">
        <v>87</v>
      </c>
      <c r="F6" s="65" t="s">
        <v>88</v>
      </c>
      <c r="J6" s="66" t="s">
        <v>86</v>
      </c>
      <c r="K6" s="66" t="s">
        <v>63</v>
      </c>
      <c r="L6" s="66" t="s">
        <v>87</v>
      </c>
      <c r="M6" s="66" t="s">
        <v>88</v>
      </c>
      <c r="P6" s="104" t="s">
        <v>161</v>
      </c>
      <c r="Q6" s="31">
        <f>AVERAGE(Q2:Q5)</f>
        <v>9</v>
      </c>
      <c r="R6" s="69">
        <f>AVERAGE(R2:R5)</f>
        <v>24.75</v>
      </c>
    </row>
    <row r="7" spans="1:28" x14ac:dyDescent="0.25">
      <c r="A7" s="68" t="s">
        <v>89</v>
      </c>
      <c r="B7" s="65" t="s">
        <v>90</v>
      </c>
      <c r="C7" s="31">
        <v>3600</v>
      </c>
      <c r="D7" s="31">
        <v>403</v>
      </c>
      <c r="E7" s="69">
        <f>(2*C7)/D7</f>
        <v>17.866004962779158</v>
      </c>
      <c r="F7" s="69">
        <f>(2*C7)/60</f>
        <v>120</v>
      </c>
      <c r="H7" s="68" t="s">
        <v>89</v>
      </c>
      <c r="I7" s="66" t="s">
        <v>99</v>
      </c>
      <c r="J7" s="31">
        <v>3200</v>
      </c>
      <c r="K7" s="31">
        <v>391</v>
      </c>
      <c r="L7" s="69">
        <f>(2*J7)/K7</f>
        <v>16.368286445012789</v>
      </c>
      <c r="M7" s="69">
        <f>(2*J7)/60</f>
        <v>106.66666666666667</v>
      </c>
      <c r="O7" s="128" t="s">
        <v>148</v>
      </c>
      <c r="P7" s="85" t="s">
        <v>150</v>
      </c>
      <c r="Q7" s="109">
        <v>10</v>
      </c>
      <c r="R7" s="107">
        <v>25</v>
      </c>
    </row>
    <row r="8" spans="1:28" x14ac:dyDescent="0.25">
      <c r="B8" s="65" t="s">
        <v>91</v>
      </c>
      <c r="C8" s="31">
        <v>3000</v>
      </c>
      <c r="D8" s="31">
        <v>312</v>
      </c>
      <c r="E8" s="69">
        <f>(2*C8)/D8</f>
        <v>19.23076923076923</v>
      </c>
      <c r="F8" s="31">
        <f>(2*C8)/60</f>
        <v>100</v>
      </c>
      <c r="I8" s="66" t="s">
        <v>100</v>
      </c>
      <c r="J8" s="31">
        <v>2800</v>
      </c>
      <c r="K8" s="31">
        <v>305</v>
      </c>
      <c r="L8" s="69">
        <f>(2*J8)/K8</f>
        <v>18.360655737704917</v>
      </c>
      <c r="M8" s="69">
        <f>(2*J8)/60</f>
        <v>93.333333333333329</v>
      </c>
      <c r="O8" s="129"/>
      <c r="P8" s="88" t="s">
        <v>149</v>
      </c>
      <c r="Q8" s="111">
        <v>11</v>
      </c>
      <c r="R8" s="96">
        <v>25</v>
      </c>
    </row>
    <row r="9" spans="1:28" x14ac:dyDescent="0.25">
      <c r="C9" s="65" t="s">
        <v>86</v>
      </c>
      <c r="D9" s="65" t="s">
        <v>63</v>
      </c>
      <c r="E9" s="65" t="s">
        <v>87</v>
      </c>
      <c r="F9" s="65" t="s">
        <v>88</v>
      </c>
      <c r="J9" s="66" t="s">
        <v>86</v>
      </c>
      <c r="K9" s="66" t="s">
        <v>63</v>
      </c>
      <c r="L9" s="66" t="s">
        <v>87</v>
      </c>
      <c r="M9" s="66" t="s">
        <v>88</v>
      </c>
      <c r="O9" s="129"/>
      <c r="P9" s="88" t="s">
        <v>152</v>
      </c>
      <c r="Q9" s="111">
        <v>10</v>
      </c>
      <c r="R9" s="96">
        <v>25</v>
      </c>
    </row>
    <row r="10" spans="1:28" x14ac:dyDescent="0.25">
      <c r="A10" s="68" t="s">
        <v>92</v>
      </c>
      <c r="B10" s="65" t="s">
        <v>93</v>
      </c>
      <c r="C10" s="31">
        <v>3500</v>
      </c>
      <c r="D10" s="31">
        <v>483</v>
      </c>
      <c r="E10" s="69">
        <f>(2*C10)/D10</f>
        <v>14.492753623188406</v>
      </c>
      <c r="F10" s="69">
        <f>(2*C10)/60</f>
        <v>116.66666666666667</v>
      </c>
      <c r="H10" s="68" t="s">
        <v>92</v>
      </c>
      <c r="I10" s="66" t="s">
        <v>93</v>
      </c>
      <c r="J10" s="31">
        <v>2800</v>
      </c>
      <c r="K10" s="31">
        <v>484</v>
      </c>
      <c r="L10" s="69">
        <f>(2*J10)/K10</f>
        <v>11.570247933884298</v>
      </c>
      <c r="M10" s="69">
        <f>(2*J10)/60</f>
        <v>93.333333333333329</v>
      </c>
      <c r="O10" s="129"/>
      <c r="P10" s="88" t="s">
        <v>156</v>
      </c>
      <c r="Q10" s="111">
        <v>9</v>
      </c>
      <c r="R10" s="96">
        <v>24</v>
      </c>
    </row>
    <row r="11" spans="1:28" x14ac:dyDescent="0.25">
      <c r="B11" s="65" t="s">
        <v>94</v>
      </c>
      <c r="C11" s="31">
        <v>2700</v>
      </c>
      <c r="D11" s="31">
        <v>439</v>
      </c>
      <c r="E11" s="69">
        <f>(2*C11)/D11</f>
        <v>12.300683371298405</v>
      </c>
      <c r="F11" s="31">
        <f>(2*C11)/60</f>
        <v>90</v>
      </c>
      <c r="I11" s="66" t="s">
        <v>94</v>
      </c>
      <c r="J11" s="31">
        <v>2500</v>
      </c>
      <c r="K11" s="31">
        <v>438</v>
      </c>
      <c r="L11" s="69">
        <f>(2*J11)/K11</f>
        <v>11.415525114155251</v>
      </c>
      <c r="M11" s="69">
        <f>(2*J11)/60</f>
        <v>83.333333333333329</v>
      </c>
      <c r="O11" s="129"/>
      <c r="P11" s="88" t="s">
        <v>159</v>
      </c>
      <c r="Q11" s="111">
        <v>11</v>
      </c>
      <c r="R11" s="96">
        <v>23</v>
      </c>
    </row>
    <row r="12" spans="1:28" ht="15.75" thickBot="1" x14ac:dyDescent="0.3">
      <c r="B12" t="s">
        <v>33</v>
      </c>
      <c r="C12" t="s">
        <v>87</v>
      </c>
      <c r="I12" t="s">
        <v>33</v>
      </c>
      <c r="J12" t="s">
        <v>87</v>
      </c>
      <c r="O12" s="130"/>
      <c r="P12" s="99" t="s">
        <v>160</v>
      </c>
      <c r="Q12" s="110">
        <v>11</v>
      </c>
      <c r="R12" s="108">
        <v>24</v>
      </c>
    </row>
    <row r="13" spans="1:28" x14ac:dyDescent="0.25">
      <c r="B13" s="67" t="s">
        <v>83</v>
      </c>
      <c r="C13">
        <v>24</v>
      </c>
      <c r="I13" s="67" t="s">
        <v>83</v>
      </c>
      <c r="J13">
        <v>20</v>
      </c>
      <c r="P13" s="104" t="s">
        <v>161</v>
      </c>
      <c r="Q13" s="69">
        <f>AVERAGE(Q7:Q12)</f>
        <v>10.333333333333334</v>
      </c>
      <c r="R13" s="69">
        <f>AVERAGE(R7:R12)</f>
        <v>24.333333333333332</v>
      </c>
    </row>
    <row r="14" spans="1:28" x14ac:dyDescent="0.25">
      <c r="B14" s="67" t="s">
        <v>89</v>
      </c>
      <c r="C14">
        <v>18</v>
      </c>
      <c r="E14" s="133" t="s">
        <v>177</v>
      </c>
      <c r="F14" s="134"/>
      <c r="I14" s="67" t="s">
        <v>89</v>
      </c>
      <c r="J14">
        <v>16</v>
      </c>
      <c r="L14" s="133" t="s">
        <v>177</v>
      </c>
      <c r="M14" s="134"/>
      <c r="P14" s="103" t="s">
        <v>162</v>
      </c>
      <c r="Q14" s="80">
        <f>AVERAGE(Q2:Q5,Q7:Q12)</f>
        <v>9.8000000000000007</v>
      </c>
      <c r="R14" s="80">
        <f>AVERAGE(R2:R5,R7:R12)</f>
        <v>24.5</v>
      </c>
    </row>
    <row r="15" spans="1:28" x14ac:dyDescent="0.25">
      <c r="B15" s="67" t="s">
        <v>92</v>
      </c>
      <c r="C15">
        <v>14</v>
      </c>
      <c r="E15" s="120" t="s">
        <v>175</v>
      </c>
      <c r="F15" s="121"/>
      <c r="I15" s="67" t="s">
        <v>92</v>
      </c>
      <c r="J15">
        <v>12</v>
      </c>
      <c r="L15" s="120" t="s">
        <v>175</v>
      </c>
      <c r="M15" s="121"/>
    </row>
    <row r="16" spans="1:28" ht="15.75" thickBot="1" x14ac:dyDescent="0.3">
      <c r="B16" t="s">
        <v>32</v>
      </c>
      <c r="C16" t="s">
        <v>88</v>
      </c>
      <c r="E16" s="122" t="s">
        <v>176</v>
      </c>
      <c r="F16" s="123"/>
      <c r="I16" t="s">
        <v>32</v>
      </c>
      <c r="J16" t="s">
        <v>88</v>
      </c>
      <c r="L16" s="122" t="s">
        <v>176</v>
      </c>
      <c r="M16" s="123"/>
      <c r="O16" s="113"/>
      <c r="P16" s="113"/>
      <c r="Q16" s="114" t="s">
        <v>163</v>
      </c>
      <c r="R16" s="114" t="s">
        <v>167</v>
      </c>
      <c r="S16" s="113"/>
      <c r="T16" s="115" t="s">
        <v>166</v>
      </c>
      <c r="U16" s="113"/>
      <c r="V16" s="114"/>
      <c r="W16" s="114"/>
      <c r="X16" s="114"/>
      <c r="Y16" s="113"/>
      <c r="Z16" s="113"/>
      <c r="AA16" s="113"/>
      <c r="AB16" s="113"/>
    </row>
    <row r="17" spans="2:24" ht="15.75" thickBot="1" x14ac:dyDescent="0.3">
      <c r="B17" s="67" t="s">
        <v>83</v>
      </c>
      <c r="C17">
        <v>110</v>
      </c>
      <c r="I17" s="67" t="s">
        <v>83</v>
      </c>
      <c r="J17">
        <v>103</v>
      </c>
      <c r="O17" s="128" t="s">
        <v>148</v>
      </c>
      <c r="P17" s="85" t="s">
        <v>150</v>
      </c>
      <c r="Q17" s="107">
        <v>20</v>
      </c>
      <c r="R17" s="93"/>
      <c r="S17" s="88"/>
      <c r="V17" s="31" t="s">
        <v>163</v>
      </c>
      <c r="W17" s="93" t="s">
        <v>167</v>
      </c>
      <c r="X17" s="93"/>
    </row>
    <row r="18" spans="2:24" x14ac:dyDescent="0.25">
      <c r="B18" s="67" t="s">
        <v>89</v>
      </c>
      <c r="C18">
        <v>100</v>
      </c>
      <c r="I18" s="67" t="s">
        <v>89</v>
      </c>
      <c r="J18">
        <v>93</v>
      </c>
      <c r="O18" s="129"/>
      <c r="P18" s="88" t="s">
        <v>149</v>
      </c>
      <c r="Q18" s="112">
        <v>23</v>
      </c>
      <c r="R18" s="93">
        <f>Q17-Q18</f>
        <v>-3</v>
      </c>
      <c r="S18" s="88"/>
      <c r="T18" s="128" t="s">
        <v>147</v>
      </c>
      <c r="U18" s="85" t="s">
        <v>146</v>
      </c>
      <c r="V18" s="107">
        <v>20</v>
      </c>
      <c r="W18" s="111"/>
      <c r="X18" s="93"/>
    </row>
    <row r="19" spans="2:24" x14ac:dyDescent="0.25">
      <c r="B19" s="67" t="s">
        <v>92</v>
      </c>
      <c r="C19">
        <v>90</v>
      </c>
      <c r="I19" s="67" t="s">
        <v>92</v>
      </c>
      <c r="J19">
        <v>83</v>
      </c>
      <c r="O19" s="129"/>
      <c r="P19" s="88" t="s">
        <v>152</v>
      </c>
      <c r="Q19" s="112">
        <v>24</v>
      </c>
      <c r="R19" s="93">
        <f t="shared" ref="R19:R22" si="0">Q18-Q19</f>
        <v>-1</v>
      </c>
      <c r="S19" s="88"/>
      <c r="T19" s="129"/>
      <c r="U19" s="88" t="s">
        <v>140</v>
      </c>
      <c r="V19" s="96">
        <v>20</v>
      </c>
      <c r="W19" s="93">
        <f>V18-V19</f>
        <v>0</v>
      </c>
      <c r="X19" s="93"/>
    </row>
    <row r="20" spans="2:24" x14ac:dyDescent="0.25">
      <c r="O20" s="129"/>
      <c r="P20" s="88" t="s">
        <v>156</v>
      </c>
      <c r="Q20" s="112">
        <v>23</v>
      </c>
      <c r="R20" s="93">
        <f t="shared" si="0"/>
        <v>1</v>
      </c>
      <c r="S20" s="88"/>
      <c r="T20" s="129"/>
      <c r="U20" s="88" t="s">
        <v>141</v>
      </c>
      <c r="V20" s="96">
        <v>21</v>
      </c>
      <c r="W20" s="93">
        <f t="shared" ref="W20:W21" si="1">V19-V20</f>
        <v>-1</v>
      </c>
      <c r="X20" s="93"/>
    </row>
    <row r="21" spans="2:24" ht="15.75" thickBot="1" x14ac:dyDescent="0.3">
      <c r="O21" s="129"/>
      <c r="P21" s="88" t="s">
        <v>159</v>
      </c>
      <c r="Q21" s="112">
        <v>25</v>
      </c>
      <c r="R21" s="93">
        <f t="shared" si="0"/>
        <v>-2</v>
      </c>
      <c r="S21" s="88"/>
      <c r="T21" s="130"/>
      <c r="U21" s="99" t="s">
        <v>142</v>
      </c>
      <c r="V21" s="108">
        <v>22</v>
      </c>
      <c r="W21" s="93">
        <f t="shared" si="1"/>
        <v>-1</v>
      </c>
      <c r="X21" s="93"/>
    </row>
    <row r="22" spans="2:24" ht="15.75" thickBot="1" x14ac:dyDescent="0.3">
      <c r="O22" s="130"/>
      <c r="P22" s="99" t="s">
        <v>160</v>
      </c>
      <c r="Q22" s="108">
        <v>27</v>
      </c>
      <c r="R22" s="93">
        <f t="shared" si="0"/>
        <v>-2</v>
      </c>
      <c r="S22" s="88"/>
      <c r="U22" s="106"/>
      <c r="V22" s="93"/>
      <c r="W22" s="93"/>
      <c r="X22" s="93"/>
    </row>
    <row r="24" spans="2:24" ht="15.75" thickBot="1" x14ac:dyDescent="0.3">
      <c r="V24" s="31" t="s">
        <v>164</v>
      </c>
    </row>
    <row r="25" spans="2:24" ht="15.75" thickBot="1" x14ac:dyDescent="0.3">
      <c r="Q25" s="31" t="s">
        <v>164</v>
      </c>
      <c r="T25" s="128" t="s">
        <v>147</v>
      </c>
      <c r="U25" s="85" t="s">
        <v>146</v>
      </c>
      <c r="V25" s="107">
        <v>16</v>
      </c>
    </row>
    <row r="26" spans="2:24" x14ac:dyDescent="0.25">
      <c r="O26" s="128" t="s">
        <v>148</v>
      </c>
      <c r="P26" s="85" t="s">
        <v>150</v>
      </c>
      <c r="Q26" s="107">
        <v>16</v>
      </c>
      <c r="T26" s="129"/>
      <c r="U26" s="88" t="s">
        <v>140</v>
      </c>
      <c r="V26" s="96">
        <v>16</v>
      </c>
      <c r="W26" s="93">
        <f>V25-V26</f>
        <v>0</v>
      </c>
    </row>
    <row r="27" spans="2:24" x14ac:dyDescent="0.25">
      <c r="O27" s="129"/>
      <c r="P27" s="88" t="s">
        <v>149</v>
      </c>
      <c r="Q27" s="112">
        <v>18</v>
      </c>
      <c r="R27" s="93">
        <f>Q26-Q27</f>
        <v>-2</v>
      </c>
      <c r="T27" s="129"/>
      <c r="U27" s="88" t="s">
        <v>141</v>
      </c>
      <c r="V27" s="96">
        <v>17</v>
      </c>
      <c r="W27" s="93">
        <f t="shared" ref="W27:W28" si="2">V26-V27</f>
        <v>-1</v>
      </c>
    </row>
    <row r="28" spans="2:24" ht="15.75" thickBot="1" x14ac:dyDescent="0.3">
      <c r="O28" s="129"/>
      <c r="P28" s="88" t="s">
        <v>152</v>
      </c>
      <c r="Q28" s="112">
        <v>19</v>
      </c>
      <c r="R28" s="93">
        <f t="shared" ref="R28:R31" si="3">Q27-Q28</f>
        <v>-1</v>
      </c>
      <c r="T28" s="130"/>
      <c r="U28" s="99" t="s">
        <v>142</v>
      </c>
      <c r="V28" s="108">
        <v>18</v>
      </c>
      <c r="W28" s="93">
        <f t="shared" si="2"/>
        <v>-1</v>
      </c>
    </row>
    <row r="29" spans="2:24" x14ac:dyDescent="0.25">
      <c r="O29" s="129"/>
      <c r="P29" s="88" t="s">
        <v>156</v>
      </c>
      <c r="Q29" s="112">
        <v>19</v>
      </c>
      <c r="R29" s="93">
        <f t="shared" si="3"/>
        <v>0</v>
      </c>
    </row>
    <row r="30" spans="2:24" x14ac:dyDescent="0.25">
      <c r="O30" s="129"/>
      <c r="P30" s="88" t="s">
        <v>159</v>
      </c>
      <c r="Q30" s="112">
        <v>19</v>
      </c>
      <c r="R30" s="93">
        <f t="shared" si="3"/>
        <v>0</v>
      </c>
    </row>
    <row r="31" spans="2:24" ht="15.75" thickBot="1" x14ac:dyDescent="0.3">
      <c r="O31" s="130"/>
      <c r="P31" s="99" t="s">
        <v>160</v>
      </c>
      <c r="Q31" s="108">
        <v>23</v>
      </c>
      <c r="R31" s="93">
        <f t="shared" si="3"/>
        <v>-4</v>
      </c>
      <c r="V31" s="31" t="s">
        <v>165</v>
      </c>
    </row>
    <row r="32" spans="2:24" x14ac:dyDescent="0.25">
      <c r="T32" s="128" t="s">
        <v>147</v>
      </c>
      <c r="U32" s="85" t="s">
        <v>146</v>
      </c>
      <c r="V32" s="107">
        <v>11</v>
      </c>
    </row>
    <row r="33" spans="1:25" x14ac:dyDescent="0.25">
      <c r="T33" s="129"/>
      <c r="U33" s="88" t="s">
        <v>140</v>
      </c>
      <c r="V33" s="96">
        <v>12</v>
      </c>
      <c r="W33" s="93">
        <f>V32-V33</f>
        <v>-1</v>
      </c>
    </row>
    <row r="34" spans="1:25" ht="15.75" thickBot="1" x14ac:dyDescent="0.3">
      <c r="Q34" s="31" t="s">
        <v>165</v>
      </c>
      <c r="T34" s="129"/>
      <c r="U34" s="88" t="s">
        <v>141</v>
      </c>
      <c r="V34" s="96">
        <v>12</v>
      </c>
      <c r="W34" s="93">
        <f t="shared" ref="W34:W35" si="4">V33-V34</f>
        <v>0</v>
      </c>
    </row>
    <row r="35" spans="1:25" ht="15.75" thickBot="1" x14ac:dyDescent="0.3">
      <c r="O35" s="128" t="s">
        <v>148</v>
      </c>
      <c r="P35" s="85" t="s">
        <v>150</v>
      </c>
      <c r="Q35" s="107">
        <v>11</v>
      </c>
      <c r="T35" s="130"/>
      <c r="U35" s="99" t="s">
        <v>142</v>
      </c>
      <c r="V35" s="108">
        <v>13</v>
      </c>
      <c r="W35" s="93">
        <f t="shared" si="4"/>
        <v>-1</v>
      </c>
    </row>
    <row r="36" spans="1:25" x14ac:dyDescent="0.25">
      <c r="O36" s="129"/>
      <c r="P36" s="88" t="s">
        <v>149</v>
      </c>
      <c r="Q36" s="112">
        <v>12</v>
      </c>
      <c r="R36" s="93">
        <f>Q35-Q36</f>
        <v>-1</v>
      </c>
    </row>
    <row r="37" spans="1:25" x14ac:dyDescent="0.25">
      <c r="O37" s="129"/>
      <c r="P37" s="88" t="s">
        <v>152</v>
      </c>
      <c r="Q37" s="112">
        <v>11</v>
      </c>
      <c r="R37" s="93">
        <f t="shared" ref="R37:R40" si="5">Q36-Q37</f>
        <v>1</v>
      </c>
    </row>
    <row r="38" spans="1:25" ht="23.25" x14ac:dyDescent="0.35">
      <c r="A38" s="71" t="s">
        <v>145</v>
      </c>
      <c r="B38" s="70" t="s">
        <v>96</v>
      </c>
      <c r="C38" s="81" t="s">
        <v>111</v>
      </c>
      <c r="D38" s="70" t="s">
        <v>96</v>
      </c>
      <c r="H38" s="71" t="s">
        <v>95</v>
      </c>
      <c r="I38" s="70" t="s">
        <v>96</v>
      </c>
      <c r="J38" s="81" t="s">
        <v>111</v>
      </c>
      <c r="K38" s="70" t="s">
        <v>82</v>
      </c>
      <c r="O38" s="129"/>
      <c r="P38" s="88" t="s">
        <v>156</v>
      </c>
      <c r="Q38" s="112">
        <v>14</v>
      </c>
      <c r="R38" s="93">
        <f t="shared" si="5"/>
        <v>-3</v>
      </c>
      <c r="T38" s="131" t="s">
        <v>168</v>
      </c>
      <c r="U38" s="132"/>
      <c r="V38" s="132"/>
      <c r="W38" s="119">
        <f>AVERAGE(W19:W21,W26:W28,W33:W35)</f>
        <v>-0.66666666666666663</v>
      </c>
    </row>
    <row r="39" spans="1:25" x14ac:dyDescent="0.25">
      <c r="O39" s="129"/>
      <c r="P39" s="88" t="s">
        <v>159</v>
      </c>
      <c r="Q39" s="112">
        <v>14</v>
      </c>
      <c r="R39" s="93">
        <f t="shared" si="5"/>
        <v>0</v>
      </c>
      <c r="V39" s="71" t="s">
        <v>170</v>
      </c>
      <c r="W39" s="117">
        <f>AVERAGE(R18:R22,R27:R31,R36:R40)</f>
        <v>-1.2</v>
      </c>
      <c r="X39" s="118">
        <f>W39/2</f>
        <v>-0.6</v>
      </c>
      <c r="Y39" s="116" t="s">
        <v>171</v>
      </c>
    </row>
    <row r="40" spans="1:25" ht="15.75" thickBot="1" x14ac:dyDescent="0.3">
      <c r="C40" s="73" t="s">
        <v>86</v>
      </c>
      <c r="D40" s="73" t="s">
        <v>63</v>
      </c>
      <c r="E40" s="73" t="s">
        <v>87</v>
      </c>
      <c r="F40" s="73" t="s">
        <v>88</v>
      </c>
      <c r="J40" s="73" t="s">
        <v>86</v>
      </c>
      <c r="K40" s="73" t="s">
        <v>63</v>
      </c>
      <c r="L40" s="73" t="s">
        <v>87</v>
      </c>
      <c r="M40" s="73" t="s">
        <v>88</v>
      </c>
      <c r="O40" s="130"/>
      <c r="P40" s="99" t="s">
        <v>160</v>
      </c>
      <c r="Q40" s="108">
        <v>15</v>
      </c>
      <c r="R40" s="93">
        <f t="shared" si="5"/>
        <v>-1</v>
      </c>
      <c r="V40" s="71" t="s">
        <v>169</v>
      </c>
      <c r="W40" s="117">
        <f>AVERAGE(R18:R22,R27:R31,R36:R40,W19:W21,W26:W28,W33:W35)</f>
        <v>-1</v>
      </c>
    </row>
    <row r="41" spans="1:25" x14ac:dyDescent="0.25">
      <c r="A41" s="68" t="s">
        <v>83</v>
      </c>
      <c r="B41" s="73" t="s">
        <v>84</v>
      </c>
      <c r="C41" s="31">
        <v>3700</v>
      </c>
      <c r="D41" s="31">
        <v>348</v>
      </c>
      <c r="E41" s="69">
        <f>(2*C41)/D41</f>
        <v>21.264367816091955</v>
      </c>
      <c r="F41" s="69">
        <f>(2*C41)/60</f>
        <v>123.33333333333333</v>
      </c>
      <c r="H41" s="68" t="s">
        <v>83</v>
      </c>
      <c r="I41" s="73" t="s">
        <v>112</v>
      </c>
      <c r="J41" s="31">
        <v>3900</v>
      </c>
      <c r="K41" s="31">
        <v>361</v>
      </c>
      <c r="L41" s="69">
        <f>(2*J41)/K41</f>
        <v>21.606648199445985</v>
      </c>
      <c r="M41" s="69">
        <f>(2*J41)/60</f>
        <v>130</v>
      </c>
    </row>
    <row r="42" spans="1:25" x14ac:dyDescent="0.25">
      <c r="B42" s="73" t="s">
        <v>98</v>
      </c>
      <c r="C42" s="31">
        <v>3300</v>
      </c>
      <c r="D42" s="31">
        <v>266</v>
      </c>
      <c r="E42" s="69">
        <f>(2*C42)/D42</f>
        <v>24.81203007518797</v>
      </c>
      <c r="F42" s="31">
        <f>(2*C42)/60</f>
        <v>110</v>
      </c>
      <c r="I42" s="73" t="s">
        <v>113</v>
      </c>
      <c r="J42" s="31">
        <v>3400</v>
      </c>
      <c r="K42" s="31">
        <v>271</v>
      </c>
      <c r="L42" s="69">
        <f>(2*J42)/K42</f>
        <v>25.092250922509226</v>
      </c>
      <c r="M42" s="69">
        <f>(2*J42)/60</f>
        <v>113.33333333333333</v>
      </c>
    </row>
    <row r="43" spans="1:25" x14ac:dyDescent="0.25">
      <c r="C43" s="73" t="s">
        <v>86</v>
      </c>
      <c r="D43" s="73" t="s">
        <v>63</v>
      </c>
      <c r="E43" s="73" t="s">
        <v>87</v>
      </c>
      <c r="F43" s="73" t="s">
        <v>88</v>
      </c>
      <c r="J43" s="73" t="s">
        <v>86</v>
      </c>
      <c r="K43" s="73" t="s">
        <v>63</v>
      </c>
      <c r="L43" s="73" t="s">
        <v>87</v>
      </c>
      <c r="M43" s="73" t="s">
        <v>88</v>
      </c>
    </row>
    <row r="44" spans="1:25" x14ac:dyDescent="0.25">
      <c r="A44" s="68" t="s">
        <v>89</v>
      </c>
      <c r="B44" s="73" t="s">
        <v>90</v>
      </c>
      <c r="C44" s="31">
        <v>3450</v>
      </c>
      <c r="D44" s="31">
        <v>405</v>
      </c>
      <c r="E44" s="69">
        <f>(2*C44)/D44</f>
        <v>17.037037037037038</v>
      </c>
      <c r="F44" s="69">
        <f>(2*C44)/60</f>
        <v>115</v>
      </c>
      <c r="H44" s="68" t="s">
        <v>89</v>
      </c>
      <c r="I44" s="73" t="s">
        <v>90</v>
      </c>
      <c r="J44" s="31">
        <v>3600</v>
      </c>
      <c r="K44" s="31">
        <v>406</v>
      </c>
      <c r="L44" s="69">
        <f>(2*J44)/K44</f>
        <v>17.733990147783253</v>
      </c>
      <c r="M44" s="69">
        <f>(2*J44)/60</f>
        <v>120</v>
      </c>
    </row>
    <row r="45" spans="1:25" x14ac:dyDescent="0.25">
      <c r="B45" s="73" t="s">
        <v>91</v>
      </c>
      <c r="C45" s="31">
        <v>2950</v>
      </c>
      <c r="D45" s="31">
        <v>310</v>
      </c>
      <c r="E45" s="69">
        <f>(2*C45)/D45</f>
        <v>19.032258064516128</v>
      </c>
      <c r="F45" s="69">
        <f>(2*C45)/60</f>
        <v>98.333333333333329</v>
      </c>
      <c r="I45" s="73" t="s">
        <v>91</v>
      </c>
      <c r="J45" s="31">
        <v>3050</v>
      </c>
      <c r="K45" s="31">
        <v>312</v>
      </c>
      <c r="L45" s="69">
        <f>(2*J45)/K45</f>
        <v>19.551282051282051</v>
      </c>
      <c r="M45" s="69">
        <f>(2*J45)/60</f>
        <v>101.66666666666667</v>
      </c>
    </row>
    <row r="46" spans="1:25" x14ac:dyDescent="0.25">
      <c r="C46" s="73" t="s">
        <v>86</v>
      </c>
      <c r="D46" s="73" t="s">
        <v>63</v>
      </c>
      <c r="E46" s="73" t="s">
        <v>87</v>
      </c>
      <c r="F46" s="73" t="s">
        <v>88</v>
      </c>
      <c r="J46" s="73" t="s">
        <v>86</v>
      </c>
      <c r="K46" s="73" t="s">
        <v>63</v>
      </c>
      <c r="L46" s="73" t="s">
        <v>87</v>
      </c>
      <c r="M46" s="73" t="s">
        <v>88</v>
      </c>
    </row>
    <row r="47" spans="1:25" x14ac:dyDescent="0.25">
      <c r="A47" s="68" t="s">
        <v>92</v>
      </c>
      <c r="B47" s="73" t="s">
        <v>93</v>
      </c>
      <c r="C47" s="31">
        <v>2900</v>
      </c>
      <c r="D47" s="31">
        <v>484</v>
      </c>
      <c r="E47" s="69">
        <f>(2*C47)/D47</f>
        <v>11.983471074380166</v>
      </c>
      <c r="F47" s="69">
        <f>(2*C47)/60</f>
        <v>96.666666666666671</v>
      </c>
      <c r="H47" s="68" t="s">
        <v>92</v>
      </c>
      <c r="I47" s="73" t="s">
        <v>93</v>
      </c>
      <c r="J47" s="31">
        <v>3050</v>
      </c>
      <c r="K47" s="31">
        <v>484</v>
      </c>
      <c r="L47" s="69">
        <f>(2*J47)/K47</f>
        <v>12.603305785123966</v>
      </c>
      <c r="M47" s="69">
        <f>(2*J47)/60</f>
        <v>101.66666666666667</v>
      </c>
    </row>
    <row r="48" spans="1:25" x14ac:dyDescent="0.25">
      <c r="B48" s="73" t="s">
        <v>94</v>
      </c>
      <c r="C48" s="31">
        <v>2600</v>
      </c>
      <c r="D48" s="31">
        <v>436</v>
      </c>
      <c r="E48" s="69">
        <f>(2*C48)/D48</f>
        <v>11.926605504587156</v>
      </c>
      <c r="F48" s="69">
        <f>(2*C48)/60</f>
        <v>86.666666666666671</v>
      </c>
      <c r="I48" s="73" t="s">
        <v>114</v>
      </c>
      <c r="J48" s="31">
        <v>2750</v>
      </c>
      <c r="K48" s="31">
        <v>444</v>
      </c>
      <c r="L48" s="69">
        <f>(2*J48)/K48</f>
        <v>12.387387387387387</v>
      </c>
      <c r="M48" s="69">
        <f>(2*J48)/60</f>
        <v>91.666666666666671</v>
      </c>
    </row>
    <row r="49" spans="2:10" x14ac:dyDescent="0.25">
      <c r="B49" t="s">
        <v>33</v>
      </c>
      <c r="C49" t="s">
        <v>87</v>
      </c>
      <c r="I49" t="s">
        <v>33</v>
      </c>
      <c r="J49" t="s">
        <v>87</v>
      </c>
    </row>
    <row r="50" spans="2:10" x14ac:dyDescent="0.25">
      <c r="B50" s="67" t="s">
        <v>83</v>
      </c>
      <c r="C50">
        <v>21</v>
      </c>
      <c r="I50" s="67" t="s">
        <v>83</v>
      </c>
      <c r="J50">
        <v>22</v>
      </c>
    </row>
    <row r="51" spans="2:10" x14ac:dyDescent="0.25">
      <c r="B51" s="67" t="s">
        <v>89</v>
      </c>
      <c r="C51">
        <v>17</v>
      </c>
      <c r="I51" s="67" t="s">
        <v>89</v>
      </c>
      <c r="J51">
        <v>18</v>
      </c>
    </row>
    <row r="52" spans="2:10" x14ac:dyDescent="0.25">
      <c r="B52" s="67" t="s">
        <v>92</v>
      </c>
      <c r="C52">
        <v>12</v>
      </c>
      <c r="I52" s="67" t="s">
        <v>92</v>
      </c>
      <c r="J52">
        <v>13</v>
      </c>
    </row>
    <row r="53" spans="2:10" x14ac:dyDescent="0.25">
      <c r="B53" t="s">
        <v>32</v>
      </c>
      <c r="C53" t="s">
        <v>88</v>
      </c>
      <c r="I53" t="s">
        <v>32</v>
      </c>
      <c r="J53" t="s">
        <v>88</v>
      </c>
    </row>
    <row r="54" spans="2:10" x14ac:dyDescent="0.25">
      <c r="B54" s="67" t="s">
        <v>83</v>
      </c>
      <c r="C54">
        <v>110</v>
      </c>
      <c r="I54" s="67" t="s">
        <v>83</v>
      </c>
      <c r="J54">
        <v>113</v>
      </c>
    </row>
    <row r="55" spans="2:10" x14ac:dyDescent="0.25">
      <c r="B55" s="67" t="s">
        <v>89</v>
      </c>
      <c r="C55">
        <v>98</v>
      </c>
      <c r="I55" s="67" t="s">
        <v>89</v>
      </c>
      <c r="J55">
        <v>102</v>
      </c>
    </row>
    <row r="56" spans="2:10" x14ac:dyDescent="0.25">
      <c r="B56" s="67" t="s">
        <v>92</v>
      </c>
      <c r="C56">
        <v>87</v>
      </c>
      <c r="I56" s="67" t="s">
        <v>92</v>
      </c>
      <c r="J56">
        <v>92</v>
      </c>
    </row>
    <row r="74" spans="1:13" ht="15.75" thickBot="1" x14ac:dyDescent="0.3"/>
    <row r="75" spans="1:13" ht="23.25" x14ac:dyDescent="0.35">
      <c r="A75" s="82" t="s">
        <v>95</v>
      </c>
      <c r="B75" s="83" t="s">
        <v>96</v>
      </c>
      <c r="C75" s="84" t="s">
        <v>96</v>
      </c>
      <c r="D75" s="83" t="s">
        <v>96</v>
      </c>
      <c r="E75" s="85"/>
      <c r="F75" s="86"/>
      <c r="H75" s="71" t="s">
        <v>153</v>
      </c>
      <c r="I75" s="70" t="s">
        <v>119</v>
      </c>
      <c r="J75" s="81" t="s">
        <v>96</v>
      </c>
      <c r="K75" s="70" t="s">
        <v>96</v>
      </c>
    </row>
    <row r="76" spans="1:13" x14ac:dyDescent="0.25">
      <c r="A76" s="87"/>
      <c r="B76" s="88"/>
      <c r="C76" s="88"/>
      <c r="D76" s="88"/>
      <c r="E76" s="88"/>
      <c r="F76" s="89"/>
    </row>
    <row r="77" spans="1:13" x14ac:dyDescent="0.25">
      <c r="A77" s="87"/>
      <c r="B77" s="88"/>
      <c r="C77" s="90" t="s">
        <v>86</v>
      </c>
      <c r="D77" s="90" t="s">
        <v>63</v>
      </c>
      <c r="E77" s="90" t="s">
        <v>87</v>
      </c>
      <c r="F77" s="91" t="s">
        <v>88</v>
      </c>
      <c r="J77" s="73" t="s">
        <v>86</v>
      </c>
      <c r="K77" s="73" t="s">
        <v>63</v>
      </c>
      <c r="L77" s="73" t="s">
        <v>87</v>
      </c>
      <c r="M77" s="73" t="s">
        <v>88</v>
      </c>
    </row>
    <row r="78" spans="1:13" x14ac:dyDescent="0.25">
      <c r="A78" s="92" t="s">
        <v>83</v>
      </c>
      <c r="B78" s="90" t="s">
        <v>84</v>
      </c>
      <c r="C78" s="93">
        <v>3400</v>
      </c>
      <c r="D78" s="93">
        <v>332</v>
      </c>
      <c r="E78" s="94">
        <f>(2*C78)/D78</f>
        <v>20.481927710843372</v>
      </c>
      <c r="F78" s="95">
        <f>(2*C78)/60</f>
        <v>113.33333333333333</v>
      </c>
      <c r="H78" s="68" t="s">
        <v>83</v>
      </c>
      <c r="I78" s="73" t="s">
        <v>84</v>
      </c>
      <c r="J78" s="31">
        <v>3800</v>
      </c>
      <c r="K78" s="31">
        <v>331</v>
      </c>
      <c r="L78" s="69">
        <f>(2*J78)/K78</f>
        <v>22.9607250755287</v>
      </c>
      <c r="M78" s="69">
        <f>(2*J78)/60</f>
        <v>126.66666666666667</v>
      </c>
    </row>
    <row r="79" spans="1:13" x14ac:dyDescent="0.25">
      <c r="A79" s="87"/>
      <c r="B79" s="90" t="s">
        <v>115</v>
      </c>
      <c r="C79" s="93">
        <v>3000</v>
      </c>
      <c r="D79" s="93">
        <v>252</v>
      </c>
      <c r="E79" s="94">
        <f>(2*C79)/D79</f>
        <v>23.80952380952381</v>
      </c>
      <c r="F79" s="96">
        <f>(2*C79)/60</f>
        <v>100</v>
      </c>
      <c r="I79" s="73" t="s">
        <v>85</v>
      </c>
      <c r="J79" s="31">
        <v>3250</v>
      </c>
      <c r="K79" s="31">
        <v>246</v>
      </c>
      <c r="L79" s="69">
        <f>(2*J79)/K79</f>
        <v>26.422764227642276</v>
      </c>
      <c r="M79" s="69">
        <f>(2*J79)/60</f>
        <v>108.33333333333333</v>
      </c>
    </row>
    <row r="80" spans="1:13" x14ac:dyDescent="0.25">
      <c r="A80" s="87"/>
      <c r="B80" s="88"/>
      <c r="C80" s="90" t="s">
        <v>86</v>
      </c>
      <c r="D80" s="90" t="s">
        <v>63</v>
      </c>
      <c r="E80" s="90" t="s">
        <v>87</v>
      </c>
      <c r="F80" s="91" t="s">
        <v>88</v>
      </c>
      <c r="J80" s="73" t="s">
        <v>86</v>
      </c>
      <c r="K80" s="73" t="s">
        <v>63</v>
      </c>
      <c r="L80" s="73" t="s">
        <v>87</v>
      </c>
      <c r="M80" s="73" t="s">
        <v>88</v>
      </c>
    </row>
    <row r="81" spans="1:13" x14ac:dyDescent="0.25">
      <c r="A81" s="92" t="s">
        <v>89</v>
      </c>
      <c r="B81" s="90" t="s">
        <v>116</v>
      </c>
      <c r="C81" s="93">
        <v>3050</v>
      </c>
      <c r="D81" s="93">
        <v>385</v>
      </c>
      <c r="E81" s="94">
        <f>(2*C81)/D81</f>
        <v>15.844155844155845</v>
      </c>
      <c r="F81" s="95">
        <f>(2*C81)/60</f>
        <v>101.66666666666667</v>
      </c>
      <c r="H81" s="68" t="s">
        <v>89</v>
      </c>
      <c r="I81" s="73" t="s">
        <v>120</v>
      </c>
      <c r="J81" s="31">
        <v>3350</v>
      </c>
      <c r="K81" s="31">
        <v>373</v>
      </c>
      <c r="L81" s="69">
        <f>(2*J81)/K81</f>
        <v>17.962466487935657</v>
      </c>
      <c r="M81" s="69">
        <f>(2*J81)/60</f>
        <v>111.66666666666667</v>
      </c>
    </row>
    <row r="82" spans="1:13" x14ac:dyDescent="0.25">
      <c r="A82" s="87"/>
      <c r="B82" s="90" t="s">
        <v>117</v>
      </c>
      <c r="C82" s="93">
        <v>2600</v>
      </c>
      <c r="D82" s="93">
        <v>298</v>
      </c>
      <c r="E82" s="94">
        <f>(2*C82)/D82</f>
        <v>17.449664429530202</v>
      </c>
      <c r="F82" s="95">
        <f>(2*C82)/60</f>
        <v>86.666666666666671</v>
      </c>
      <c r="I82" s="73" t="s">
        <v>121</v>
      </c>
      <c r="J82" s="31">
        <v>2900</v>
      </c>
      <c r="K82" s="31">
        <v>286</v>
      </c>
      <c r="L82" s="69">
        <f>(2*J82)/K82</f>
        <v>20.27972027972028</v>
      </c>
      <c r="M82" s="69">
        <f>(2*J82)/60</f>
        <v>96.666666666666671</v>
      </c>
    </row>
    <row r="83" spans="1:13" x14ac:dyDescent="0.25">
      <c r="A83" s="87"/>
      <c r="B83" s="88"/>
      <c r="C83" s="90" t="s">
        <v>86</v>
      </c>
      <c r="D83" s="90" t="s">
        <v>63</v>
      </c>
      <c r="E83" s="90" t="s">
        <v>87</v>
      </c>
      <c r="F83" s="91" t="s">
        <v>88</v>
      </c>
      <c r="J83" s="73" t="s">
        <v>86</v>
      </c>
      <c r="K83" s="73" t="s">
        <v>63</v>
      </c>
      <c r="L83" s="73" t="s">
        <v>87</v>
      </c>
      <c r="M83" s="73" t="s">
        <v>88</v>
      </c>
    </row>
    <row r="84" spans="1:13" x14ac:dyDescent="0.25">
      <c r="A84" s="92" t="s">
        <v>92</v>
      </c>
      <c r="B84" s="90" t="s">
        <v>93</v>
      </c>
      <c r="C84" s="93">
        <v>2700</v>
      </c>
      <c r="D84" s="93">
        <v>481</v>
      </c>
      <c r="E84" s="94">
        <f>(2*C84)/D84</f>
        <v>11.226611226611226</v>
      </c>
      <c r="F84" s="95">
        <f>(2*C84)/60</f>
        <v>90</v>
      </c>
      <c r="H84" s="68" t="s">
        <v>92</v>
      </c>
      <c r="I84" s="73" t="s">
        <v>122</v>
      </c>
      <c r="J84" s="31">
        <v>2900</v>
      </c>
      <c r="K84" s="31">
        <v>472</v>
      </c>
      <c r="L84" s="69">
        <f>(2*J84)/K84</f>
        <v>12.288135593220339</v>
      </c>
      <c r="M84" s="69">
        <f>(2*J84)/60</f>
        <v>96.666666666666671</v>
      </c>
    </row>
    <row r="85" spans="1:13" x14ac:dyDescent="0.25">
      <c r="A85" s="87"/>
      <c r="B85" s="90" t="s">
        <v>118</v>
      </c>
      <c r="C85" s="93">
        <v>2250</v>
      </c>
      <c r="D85" s="93">
        <v>436</v>
      </c>
      <c r="E85" s="94">
        <f>(2*C85)/D85</f>
        <v>10.321100917431192</v>
      </c>
      <c r="F85" s="95">
        <f>(2*C85)/60</f>
        <v>75</v>
      </c>
      <c r="I85" s="73" t="s">
        <v>123</v>
      </c>
      <c r="J85" s="31">
        <v>2500</v>
      </c>
      <c r="K85" s="31">
        <v>392</v>
      </c>
      <c r="L85" s="69">
        <f>(2*J85)/K85</f>
        <v>12.755102040816327</v>
      </c>
      <c r="M85" s="69">
        <f>(2*J85)/60</f>
        <v>83.333333333333329</v>
      </c>
    </row>
    <row r="86" spans="1:13" x14ac:dyDescent="0.25">
      <c r="A86" s="87"/>
      <c r="B86" s="88" t="s">
        <v>33</v>
      </c>
      <c r="C86" s="88" t="s">
        <v>87</v>
      </c>
      <c r="D86" s="88"/>
      <c r="E86" s="88"/>
      <c r="F86" s="89"/>
      <c r="I86" t="s">
        <v>33</v>
      </c>
      <c r="J86" t="s">
        <v>87</v>
      </c>
    </row>
    <row r="87" spans="1:13" x14ac:dyDescent="0.25">
      <c r="A87" s="87"/>
      <c r="B87" s="97" t="s">
        <v>83</v>
      </c>
      <c r="C87" s="88">
        <v>20</v>
      </c>
      <c r="D87" s="88"/>
      <c r="E87" s="88"/>
      <c r="F87" s="89"/>
      <c r="I87" s="67" t="s">
        <v>83</v>
      </c>
      <c r="J87">
        <v>23</v>
      </c>
    </row>
    <row r="88" spans="1:13" x14ac:dyDescent="0.25">
      <c r="A88" s="87"/>
      <c r="B88" s="97" t="s">
        <v>89</v>
      </c>
      <c r="C88" s="88">
        <v>16</v>
      </c>
      <c r="D88" s="88"/>
      <c r="E88" s="88"/>
      <c r="F88" s="89"/>
      <c r="I88" s="67" t="s">
        <v>89</v>
      </c>
      <c r="J88">
        <v>18</v>
      </c>
    </row>
    <row r="89" spans="1:13" x14ac:dyDescent="0.25">
      <c r="A89" s="87"/>
      <c r="B89" s="97" t="s">
        <v>92</v>
      </c>
      <c r="C89" s="88">
        <v>10</v>
      </c>
      <c r="D89" s="88"/>
      <c r="E89" s="88"/>
      <c r="F89" s="89"/>
      <c r="I89" s="67" t="s">
        <v>92</v>
      </c>
      <c r="J89">
        <v>12</v>
      </c>
    </row>
    <row r="90" spans="1:13" x14ac:dyDescent="0.25">
      <c r="A90" s="87"/>
      <c r="B90" s="88" t="s">
        <v>32</v>
      </c>
      <c r="C90" s="88" t="s">
        <v>88</v>
      </c>
      <c r="D90" s="88"/>
      <c r="E90" s="88"/>
      <c r="F90" s="89"/>
      <c r="I90" t="s">
        <v>32</v>
      </c>
      <c r="J90" t="s">
        <v>88</v>
      </c>
    </row>
    <row r="91" spans="1:13" x14ac:dyDescent="0.25">
      <c r="A91" s="87"/>
      <c r="B91" s="97" t="s">
        <v>83</v>
      </c>
      <c r="C91" s="88">
        <v>100</v>
      </c>
      <c r="D91" s="88"/>
      <c r="E91" s="88"/>
      <c r="F91" s="89"/>
      <c r="I91" s="67" t="s">
        <v>83</v>
      </c>
      <c r="J91">
        <v>108</v>
      </c>
    </row>
    <row r="92" spans="1:13" x14ac:dyDescent="0.25">
      <c r="A92" s="87"/>
      <c r="B92" s="97" t="s">
        <v>89</v>
      </c>
      <c r="C92" s="88">
        <v>87</v>
      </c>
      <c r="D92" s="88"/>
      <c r="E92" s="88"/>
      <c r="F92" s="89"/>
      <c r="I92" s="67" t="s">
        <v>89</v>
      </c>
      <c r="J92">
        <v>97</v>
      </c>
    </row>
    <row r="93" spans="1:13" x14ac:dyDescent="0.25">
      <c r="A93" s="87"/>
      <c r="B93" s="97" t="s">
        <v>92</v>
      </c>
      <c r="C93" s="88">
        <v>75</v>
      </c>
      <c r="D93" s="88"/>
      <c r="E93" s="88"/>
      <c r="F93" s="89"/>
      <c r="I93" s="67" t="s">
        <v>92</v>
      </c>
      <c r="J93">
        <v>83</v>
      </c>
    </row>
    <row r="94" spans="1:13" x14ac:dyDescent="0.25">
      <c r="A94" s="87"/>
      <c r="B94" s="88"/>
      <c r="C94" s="88"/>
      <c r="D94" s="88"/>
      <c r="E94" s="88"/>
      <c r="F94" s="89"/>
    </row>
    <row r="95" spans="1:13" x14ac:dyDescent="0.25">
      <c r="A95" s="87"/>
      <c r="B95" s="88"/>
      <c r="C95" s="88"/>
      <c r="D95" s="88"/>
      <c r="E95" s="88"/>
      <c r="F95" s="89"/>
    </row>
    <row r="96" spans="1:13" x14ac:dyDescent="0.25">
      <c r="A96" s="87"/>
      <c r="B96" s="88"/>
      <c r="C96" s="88"/>
      <c r="D96" s="88"/>
      <c r="E96" s="88"/>
      <c r="F96" s="89"/>
    </row>
    <row r="97" spans="1:6" x14ac:dyDescent="0.25">
      <c r="A97" s="87"/>
      <c r="B97" s="88"/>
      <c r="C97" s="88"/>
      <c r="D97" s="88"/>
      <c r="E97" s="88"/>
      <c r="F97" s="89"/>
    </row>
    <row r="98" spans="1:6" x14ac:dyDescent="0.25">
      <c r="A98" s="87"/>
      <c r="B98" s="88"/>
      <c r="C98" s="88"/>
      <c r="D98" s="88"/>
      <c r="E98" s="88"/>
      <c r="F98" s="89"/>
    </row>
    <row r="99" spans="1:6" x14ac:dyDescent="0.25">
      <c r="A99" s="87"/>
      <c r="B99" s="88"/>
      <c r="C99" s="88"/>
      <c r="D99" s="88"/>
      <c r="E99" s="88"/>
      <c r="F99" s="89"/>
    </row>
    <row r="100" spans="1:6" x14ac:dyDescent="0.25">
      <c r="A100" s="87"/>
      <c r="B100" s="88"/>
      <c r="C100" s="88"/>
      <c r="D100" s="88"/>
      <c r="E100" s="88"/>
      <c r="F100" s="89"/>
    </row>
    <row r="101" spans="1:6" x14ac:dyDescent="0.25">
      <c r="A101" s="87"/>
      <c r="B101" s="88"/>
      <c r="C101" s="88"/>
      <c r="D101" s="88"/>
      <c r="E101" s="88"/>
      <c r="F101" s="89"/>
    </row>
    <row r="102" spans="1:6" x14ac:dyDescent="0.25">
      <c r="A102" s="87"/>
      <c r="B102" s="88"/>
      <c r="C102" s="88"/>
      <c r="D102" s="88"/>
      <c r="E102" s="88"/>
      <c r="F102" s="89"/>
    </row>
    <row r="103" spans="1:6" x14ac:dyDescent="0.25">
      <c r="A103" s="87"/>
      <c r="B103" s="88"/>
      <c r="C103" s="88"/>
      <c r="D103" s="88"/>
      <c r="E103" s="88"/>
      <c r="F103" s="89"/>
    </row>
    <row r="104" spans="1:6" x14ac:dyDescent="0.25">
      <c r="A104" s="87"/>
      <c r="B104" s="88"/>
      <c r="C104" s="88"/>
      <c r="D104" s="88"/>
      <c r="E104" s="88"/>
      <c r="F104" s="89"/>
    </row>
    <row r="105" spans="1:6" x14ac:dyDescent="0.25">
      <c r="A105" s="87"/>
      <c r="B105" s="88"/>
      <c r="C105" s="88"/>
      <c r="D105" s="88"/>
      <c r="E105" s="88"/>
      <c r="F105" s="89"/>
    </row>
    <row r="106" spans="1:6" x14ac:dyDescent="0.25">
      <c r="A106" s="87"/>
      <c r="B106" s="88"/>
      <c r="C106" s="88"/>
      <c r="D106" s="88"/>
      <c r="E106" s="88"/>
      <c r="F106" s="89"/>
    </row>
    <row r="107" spans="1:6" x14ac:dyDescent="0.25">
      <c r="A107" s="87"/>
      <c r="B107" s="88"/>
      <c r="C107" s="88"/>
      <c r="D107" s="88"/>
      <c r="E107" s="88"/>
      <c r="F107" s="89"/>
    </row>
    <row r="108" spans="1:6" x14ac:dyDescent="0.25">
      <c r="A108" s="87"/>
      <c r="B108" s="88"/>
      <c r="C108" s="88"/>
      <c r="D108" s="88"/>
      <c r="E108" s="88"/>
      <c r="F108" s="89"/>
    </row>
    <row r="109" spans="1:6" x14ac:dyDescent="0.25">
      <c r="A109" s="87"/>
      <c r="B109" s="88"/>
      <c r="C109" s="88"/>
      <c r="D109" s="88"/>
      <c r="E109" s="88"/>
      <c r="F109" s="89"/>
    </row>
    <row r="110" spans="1:6" ht="15.75" thickBot="1" x14ac:dyDescent="0.3">
      <c r="A110" s="98"/>
      <c r="B110" s="99"/>
      <c r="C110" s="99"/>
      <c r="D110" s="99"/>
      <c r="E110" s="99"/>
      <c r="F110" s="100"/>
    </row>
    <row r="112" spans="1:6" ht="15.75" thickBot="1" x14ac:dyDescent="0.3"/>
    <row r="113" spans="1:13" ht="23.25" x14ac:dyDescent="0.35">
      <c r="A113" s="82" t="s">
        <v>154</v>
      </c>
      <c r="B113" s="83" t="s">
        <v>119</v>
      </c>
      <c r="C113" s="84" t="s">
        <v>96</v>
      </c>
      <c r="D113" s="83" t="s">
        <v>124</v>
      </c>
      <c r="E113" s="85"/>
      <c r="F113" s="86"/>
      <c r="H113" s="82" t="s">
        <v>155</v>
      </c>
      <c r="I113" s="83" t="s">
        <v>127</v>
      </c>
      <c r="J113" s="84" t="s">
        <v>96</v>
      </c>
      <c r="K113" s="83" t="s">
        <v>128</v>
      </c>
      <c r="L113" s="85"/>
      <c r="M113" s="86"/>
    </row>
    <row r="114" spans="1:13" x14ac:dyDescent="0.25">
      <c r="A114" s="87"/>
      <c r="B114" s="88"/>
      <c r="C114" s="88"/>
      <c r="D114" s="88"/>
      <c r="E114" s="88"/>
      <c r="F114" s="89"/>
      <c r="H114" s="87"/>
      <c r="I114" s="88"/>
      <c r="J114" s="88"/>
      <c r="K114" s="88"/>
      <c r="L114" s="88"/>
      <c r="M114" s="89"/>
    </row>
    <row r="115" spans="1:13" x14ac:dyDescent="0.25">
      <c r="A115" s="87"/>
      <c r="B115" s="88"/>
      <c r="C115" s="90" t="s">
        <v>86</v>
      </c>
      <c r="D115" s="90" t="s">
        <v>63</v>
      </c>
      <c r="E115" s="90" t="s">
        <v>87</v>
      </c>
      <c r="F115" s="91" t="s">
        <v>88</v>
      </c>
      <c r="H115" s="87"/>
      <c r="I115" s="88"/>
      <c r="J115" s="90" t="s">
        <v>86</v>
      </c>
      <c r="K115" s="90" t="s">
        <v>63</v>
      </c>
      <c r="L115" s="90" t="s">
        <v>87</v>
      </c>
      <c r="M115" s="91" t="s">
        <v>88</v>
      </c>
    </row>
    <row r="116" spans="1:13" x14ac:dyDescent="0.25">
      <c r="A116" s="92" t="s">
        <v>83</v>
      </c>
      <c r="B116" s="90" t="s">
        <v>125</v>
      </c>
      <c r="C116" s="93">
        <v>3950</v>
      </c>
      <c r="D116" s="93">
        <v>336</v>
      </c>
      <c r="E116" s="94">
        <f>(2*C116)/D116</f>
        <v>23.511904761904763</v>
      </c>
      <c r="F116" s="95">
        <f>(2*C116)/60</f>
        <v>131.66666666666666</v>
      </c>
      <c r="H116" s="92" t="s">
        <v>83</v>
      </c>
      <c r="I116" s="90" t="s">
        <v>129</v>
      </c>
      <c r="J116" s="93">
        <v>4070</v>
      </c>
      <c r="K116" s="93">
        <v>355</v>
      </c>
      <c r="L116" s="94">
        <f>(2*J116)/K116</f>
        <v>22.929577464788732</v>
      </c>
      <c r="M116" s="95">
        <f>(2*J116)/60</f>
        <v>135.66666666666666</v>
      </c>
    </row>
    <row r="117" spans="1:13" x14ac:dyDescent="0.25">
      <c r="A117" s="87"/>
      <c r="B117" s="90" t="s">
        <v>115</v>
      </c>
      <c r="C117" s="93">
        <v>3350</v>
      </c>
      <c r="D117" s="93">
        <v>252</v>
      </c>
      <c r="E117" s="94">
        <f>(2*C117)/D117</f>
        <v>26.587301587301589</v>
      </c>
      <c r="F117" s="95">
        <f>(2*C117)/60</f>
        <v>111.66666666666667</v>
      </c>
      <c r="H117" s="87"/>
      <c r="I117" s="90" t="s">
        <v>98</v>
      </c>
      <c r="J117" s="93">
        <v>3500</v>
      </c>
      <c r="K117" s="93">
        <v>265</v>
      </c>
      <c r="L117" s="94">
        <f>(2*J117)/K117</f>
        <v>26.415094339622641</v>
      </c>
      <c r="M117" s="95">
        <f>(2*J117)/60</f>
        <v>116.66666666666667</v>
      </c>
    </row>
    <row r="118" spans="1:13" x14ac:dyDescent="0.25">
      <c r="A118" s="87"/>
      <c r="B118" s="88"/>
      <c r="C118" s="90" t="s">
        <v>86</v>
      </c>
      <c r="D118" s="90" t="s">
        <v>63</v>
      </c>
      <c r="E118" s="90" t="s">
        <v>87</v>
      </c>
      <c r="F118" s="91" t="s">
        <v>88</v>
      </c>
      <c r="H118" s="87"/>
      <c r="I118" s="88"/>
      <c r="J118" s="90" t="s">
        <v>86</v>
      </c>
      <c r="K118" s="90" t="s">
        <v>63</v>
      </c>
      <c r="L118" s="90" t="s">
        <v>87</v>
      </c>
      <c r="M118" s="91" t="s">
        <v>88</v>
      </c>
    </row>
    <row r="119" spans="1:13" x14ac:dyDescent="0.25">
      <c r="A119" s="92" t="s">
        <v>89</v>
      </c>
      <c r="B119" s="90" t="s">
        <v>126</v>
      </c>
      <c r="C119" s="93">
        <v>3570</v>
      </c>
      <c r="D119" s="93">
        <v>378</v>
      </c>
      <c r="E119" s="94">
        <f>(2*C119)/D119</f>
        <v>18.888888888888889</v>
      </c>
      <c r="F119" s="95">
        <f>(2*C119)/60</f>
        <v>119</v>
      </c>
      <c r="H119" s="92" t="s">
        <v>89</v>
      </c>
      <c r="I119" s="90" t="s">
        <v>130</v>
      </c>
      <c r="J119" s="93">
        <v>3700</v>
      </c>
      <c r="K119" s="93">
        <v>398</v>
      </c>
      <c r="L119" s="94">
        <f>(2*J119)/K119</f>
        <v>18.592964824120603</v>
      </c>
      <c r="M119" s="95">
        <f>(2*J119)/60</f>
        <v>123.33333333333333</v>
      </c>
    </row>
    <row r="120" spans="1:13" x14ac:dyDescent="0.25">
      <c r="A120" s="87"/>
      <c r="B120" s="90" t="s">
        <v>121</v>
      </c>
      <c r="C120" s="93">
        <v>3050</v>
      </c>
      <c r="D120" s="93">
        <v>286</v>
      </c>
      <c r="E120" s="94">
        <f>(2*C120)/D120</f>
        <v>21.32867132867133</v>
      </c>
      <c r="F120" s="95">
        <f>(2*C120)/60</f>
        <v>101.66666666666667</v>
      </c>
      <c r="H120" s="87"/>
      <c r="I120" s="90" t="s">
        <v>100</v>
      </c>
      <c r="J120" s="93">
        <v>3150</v>
      </c>
      <c r="K120" s="93">
        <v>305</v>
      </c>
      <c r="L120" s="94">
        <f>(2*J120)/K120</f>
        <v>20.655737704918032</v>
      </c>
      <c r="M120" s="95">
        <f>(2*J120)/60</f>
        <v>105</v>
      </c>
    </row>
    <row r="121" spans="1:13" x14ac:dyDescent="0.25">
      <c r="A121" s="87"/>
      <c r="B121" s="88"/>
      <c r="C121" s="90" t="s">
        <v>86</v>
      </c>
      <c r="D121" s="90" t="s">
        <v>63</v>
      </c>
      <c r="E121" s="90" t="s">
        <v>87</v>
      </c>
      <c r="F121" s="91" t="s">
        <v>88</v>
      </c>
      <c r="H121" s="87"/>
      <c r="I121" s="88"/>
      <c r="J121" s="90" t="s">
        <v>86</v>
      </c>
      <c r="K121" s="90" t="s">
        <v>63</v>
      </c>
      <c r="L121" s="90" t="s">
        <v>87</v>
      </c>
      <c r="M121" s="91" t="s">
        <v>88</v>
      </c>
    </row>
    <row r="122" spans="1:13" x14ac:dyDescent="0.25">
      <c r="A122" s="92" t="s">
        <v>92</v>
      </c>
      <c r="B122" s="90" t="s">
        <v>93</v>
      </c>
      <c r="C122" s="93">
        <v>2700</v>
      </c>
      <c r="D122" s="93">
        <v>481</v>
      </c>
      <c r="E122" s="94">
        <f>(2*C122)/D122</f>
        <v>11.226611226611226</v>
      </c>
      <c r="F122" s="95">
        <f>(2*C122)/60</f>
        <v>90</v>
      </c>
      <c r="H122" s="92" t="s">
        <v>92</v>
      </c>
      <c r="I122" s="90" t="s">
        <v>93</v>
      </c>
      <c r="J122" s="93">
        <v>3450</v>
      </c>
      <c r="K122" s="93">
        <v>490</v>
      </c>
      <c r="L122" s="94">
        <f>(2*J122)/K122</f>
        <v>14.081632653061224</v>
      </c>
      <c r="M122" s="95">
        <f>(2*J122)/60</f>
        <v>115</v>
      </c>
    </row>
    <row r="123" spans="1:13" x14ac:dyDescent="0.25">
      <c r="A123" s="87"/>
      <c r="B123" s="90" t="s">
        <v>118</v>
      </c>
      <c r="C123" s="93">
        <v>2250</v>
      </c>
      <c r="D123" s="93">
        <v>436</v>
      </c>
      <c r="E123" s="94">
        <f>(2*C123)/D123</f>
        <v>10.321100917431192</v>
      </c>
      <c r="F123" s="95">
        <f>(2*C123)/60</f>
        <v>75</v>
      </c>
      <c r="H123" s="87"/>
      <c r="I123" s="90" t="s">
        <v>131</v>
      </c>
      <c r="J123" s="93">
        <v>2800</v>
      </c>
      <c r="K123" s="93">
        <v>431</v>
      </c>
      <c r="L123" s="94">
        <f>(2*J123)/K123</f>
        <v>12.993039443155453</v>
      </c>
      <c r="M123" s="101">
        <f>(2*J123)/60</f>
        <v>93.333333333333329</v>
      </c>
    </row>
    <row r="124" spans="1:13" x14ac:dyDescent="0.25">
      <c r="A124" s="87"/>
      <c r="B124" s="88" t="s">
        <v>33</v>
      </c>
      <c r="C124" s="88" t="s">
        <v>87</v>
      </c>
      <c r="D124" s="88"/>
      <c r="E124" s="88"/>
      <c r="F124" s="89"/>
      <c r="H124" s="87"/>
      <c r="I124" s="88" t="s">
        <v>33</v>
      </c>
      <c r="J124" s="88" t="s">
        <v>87</v>
      </c>
      <c r="K124" s="88"/>
      <c r="L124" s="88"/>
      <c r="M124" s="89"/>
    </row>
    <row r="125" spans="1:13" x14ac:dyDescent="0.25">
      <c r="A125" s="87"/>
      <c r="B125" s="97" t="s">
        <v>83</v>
      </c>
      <c r="C125" s="88">
        <v>24</v>
      </c>
      <c r="D125" s="88"/>
      <c r="E125" s="88"/>
      <c r="F125" s="89"/>
      <c r="H125" s="87"/>
      <c r="I125" s="97" t="s">
        <v>83</v>
      </c>
      <c r="J125" s="88">
        <v>23</v>
      </c>
      <c r="K125" s="88"/>
      <c r="L125" s="88"/>
      <c r="M125" s="89"/>
    </row>
    <row r="126" spans="1:13" x14ac:dyDescent="0.25">
      <c r="A126" s="87"/>
      <c r="B126" s="97" t="s">
        <v>89</v>
      </c>
      <c r="C126" s="88">
        <v>19</v>
      </c>
      <c r="D126" s="88"/>
      <c r="E126" s="88"/>
      <c r="F126" s="89"/>
      <c r="H126" s="87"/>
      <c r="I126" s="97" t="s">
        <v>89</v>
      </c>
      <c r="J126" s="88">
        <v>19</v>
      </c>
      <c r="K126" s="88"/>
      <c r="L126" s="88"/>
      <c r="M126" s="89"/>
    </row>
    <row r="127" spans="1:13" x14ac:dyDescent="0.25">
      <c r="A127" s="87"/>
      <c r="B127" s="97" t="s">
        <v>92</v>
      </c>
      <c r="C127" s="88">
        <v>11</v>
      </c>
      <c r="D127" s="88"/>
      <c r="E127" s="88"/>
      <c r="F127" s="89"/>
      <c r="H127" s="87"/>
      <c r="I127" s="97" t="s">
        <v>92</v>
      </c>
      <c r="J127" s="88">
        <v>14</v>
      </c>
      <c r="K127" s="88"/>
      <c r="L127" s="88"/>
      <c r="M127" s="89"/>
    </row>
    <row r="128" spans="1:13" x14ac:dyDescent="0.25">
      <c r="A128" s="87"/>
      <c r="B128" s="88" t="s">
        <v>32</v>
      </c>
      <c r="C128" s="88" t="s">
        <v>88</v>
      </c>
      <c r="D128" s="88"/>
      <c r="E128" s="88"/>
      <c r="F128" s="89"/>
      <c r="H128" s="87"/>
      <c r="I128" s="88" t="s">
        <v>32</v>
      </c>
      <c r="J128" s="88" t="s">
        <v>88</v>
      </c>
      <c r="K128" s="88"/>
      <c r="L128" s="88"/>
      <c r="M128" s="89"/>
    </row>
    <row r="129" spans="1:13" x14ac:dyDescent="0.25">
      <c r="A129" s="87"/>
      <c r="B129" s="97" t="s">
        <v>83</v>
      </c>
      <c r="C129" s="88">
        <v>100</v>
      </c>
      <c r="D129" s="88"/>
      <c r="E129" s="88"/>
      <c r="F129" s="89"/>
      <c r="H129" s="87"/>
      <c r="I129" s="97" t="s">
        <v>83</v>
      </c>
      <c r="J129" s="88">
        <v>117</v>
      </c>
      <c r="K129" s="88"/>
      <c r="L129" s="88"/>
      <c r="M129" s="89"/>
    </row>
    <row r="130" spans="1:13" x14ac:dyDescent="0.25">
      <c r="A130" s="87"/>
      <c r="B130" s="97" t="s">
        <v>89</v>
      </c>
      <c r="C130" s="88">
        <v>87</v>
      </c>
      <c r="D130" s="88"/>
      <c r="E130" s="88"/>
      <c r="F130" s="89"/>
      <c r="H130" s="87"/>
      <c r="I130" s="97" t="s">
        <v>89</v>
      </c>
      <c r="J130" s="88">
        <v>105</v>
      </c>
      <c r="K130" s="88"/>
      <c r="L130" s="88"/>
      <c r="M130" s="89"/>
    </row>
    <row r="131" spans="1:13" x14ac:dyDescent="0.25">
      <c r="A131" s="87"/>
      <c r="B131" s="97" t="s">
        <v>92</v>
      </c>
      <c r="C131" s="88">
        <v>75</v>
      </c>
      <c r="D131" s="88"/>
      <c r="E131" s="88"/>
      <c r="F131" s="89"/>
      <c r="H131" s="87"/>
      <c r="I131" s="97" t="s">
        <v>92</v>
      </c>
      <c r="J131" s="88">
        <v>93</v>
      </c>
      <c r="K131" s="88"/>
      <c r="L131" s="88"/>
      <c r="M131" s="89"/>
    </row>
    <row r="132" spans="1:13" x14ac:dyDescent="0.25">
      <c r="A132" s="87"/>
      <c r="B132" s="88"/>
      <c r="C132" s="88"/>
      <c r="D132" s="88"/>
      <c r="E132" s="88"/>
      <c r="F132" s="89"/>
      <c r="H132" s="87"/>
      <c r="I132" s="88"/>
      <c r="J132" s="88"/>
      <c r="K132" s="88"/>
      <c r="L132" s="88"/>
      <c r="M132" s="89"/>
    </row>
    <row r="133" spans="1:13" x14ac:dyDescent="0.25">
      <c r="A133" s="87"/>
      <c r="B133" s="88"/>
      <c r="C133" s="88"/>
      <c r="D133" s="88"/>
      <c r="E133" s="88"/>
      <c r="F133" s="89"/>
      <c r="H133" s="87"/>
      <c r="I133" s="88"/>
      <c r="J133" s="88"/>
      <c r="K133" s="88"/>
      <c r="L133" s="88"/>
      <c r="M133" s="89"/>
    </row>
    <row r="134" spans="1:13" x14ac:dyDescent="0.25">
      <c r="A134" s="87"/>
      <c r="B134" s="88"/>
      <c r="C134" s="88"/>
      <c r="D134" s="88"/>
      <c r="E134" s="88"/>
      <c r="F134" s="89"/>
      <c r="H134" s="87"/>
      <c r="I134" s="88"/>
      <c r="J134" s="88"/>
      <c r="K134" s="88"/>
      <c r="L134" s="88"/>
      <c r="M134" s="89"/>
    </row>
    <row r="135" spans="1:13" x14ac:dyDescent="0.25">
      <c r="A135" s="87"/>
      <c r="B135" s="88"/>
      <c r="C135" s="88"/>
      <c r="D135" s="88"/>
      <c r="E135" s="88"/>
      <c r="F135" s="89"/>
      <c r="H135" s="87"/>
      <c r="I135" s="88"/>
      <c r="J135" s="88"/>
      <c r="K135" s="88"/>
      <c r="L135" s="88"/>
      <c r="M135" s="89"/>
    </row>
    <row r="136" spans="1:13" x14ac:dyDescent="0.25">
      <c r="A136" s="87"/>
      <c r="B136" s="88"/>
      <c r="C136" s="88"/>
      <c r="D136" s="88"/>
      <c r="E136" s="88"/>
      <c r="F136" s="89"/>
      <c r="H136" s="87"/>
      <c r="I136" s="88"/>
      <c r="J136" s="88"/>
      <c r="K136" s="88"/>
      <c r="L136" s="88"/>
      <c r="M136" s="89"/>
    </row>
    <row r="137" spans="1:13" x14ac:dyDescent="0.25">
      <c r="A137" s="87"/>
      <c r="B137" s="88"/>
      <c r="C137" s="88"/>
      <c r="D137" s="88"/>
      <c r="E137" s="88"/>
      <c r="F137" s="89"/>
      <c r="H137" s="87"/>
      <c r="I137" s="88"/>
      <c r="J137" s="88"/>
      <c r="K137" s="88"/>
      <c r="L137" s="88"/>
      <c r="M137" s="89"/>
    </row>
    <row r="138" spans="1:13" x14ac:dyDescent="0.25">
      <c r="A138" s="87"/>
      <c r="B138" s="88"/>
      <c r="C138" s="88"/>
      <c r="D138" s="88"/>
      <c r="E138" s="88"/>
      <c r="F138" s="89"/>
      <c r="H138" s="87"/>
      <c r="I138" s="88"/>
      <c r="J138" s="88"/>
      <c r="K138" s="88"/>
      <c r="L138" s="88"/>
      <c r="M138" s="89"/>
    </row>
    <row r="139" spans="1:13" x14ac:dyDescent="0.25">
      <c r="A139" s="87"/>
      <c r="B139" s="88"/>
      <c r="C139" s="88"/>
      <c r="D139" s="88"/>
      <c r="E139" s="88"/>
      <c r="F139" s="89"/>
      <c r="H139" s="87"/>
      <c r="I139" s="88"/>
      <c r="J139" s="88"/>
      <c r="K139" s="88"/>
      <c r="L139" s="88"/>
      <c r="M139" s="89"/>
    </row>
    <row r="140" spans="1:13" x14ac:dyDescent="0.25">
      <c r="A140" s="87"/>
      <c r="B140" s="88"/>
      <c r="C140" s="88"/>
      <c r="D140" s="88"/>
      <c r="E140" s="88"/>
      <c r="F140" s="89"/>
      <c r="H140" s="87"/>
      <c r="I140" s="88"/>
      <c r="J140" s="88"/>
      <c r="K140" s="88"/>
      <c r="L140" s="88"/>
      <c r="M140" s="89"/>
    </row>
    <row r="141" spans="1:13" x14ac:dyDescent="0.25">
      <c r="A141" s="87"/>
      <c r="B141" s="88"/>
      <c r="C141" s="88"/>
      <c r="D141" s="88"/>
      <c r="E141" s="88"/>
      <c r="F141" s="89"/>
      <c r="H141" s="87"/>
      <c r="I141" s="88"/>
      <c r="J141" s="88"/>
      <c r="K141" s="88"/>
      <c r="L141" s="88"/>
      <c r="M141" s="89"/>
    </row>
    <row r="142" spans="1:13" x14ac:dyDescent="0.25">
      <c r="A142" s="87"/>
      <c r="B142" s="88"/>
      <c r="C142" s="88"/>
      <c r="D142" s="88"/>
      <c r="E142" s="88"/>
      <c r="F142" s="89"/>
      <c r="H142" s="87"/>
      <c r="I142" s="88"/>
      <c r="J142" s="88"/>
      <c r="K142" s="88"/>
      <c r="L142" s="88"/>
      <c r="M142" s="89"/>
    </row>
    <row r="143" spans="1:13" x14ac:dyDescent="0.25">
      <c r="A143" s="87"/>
      <c r="B143" s="88"/>
      <c r="C143" s="88"/>
      <c r="D143" s="88"/>
      <c r="E143" s="88"/>
      <c r="F143" s="89"/>
      <c r="H143" s="87"/>
      <c r="I143" s="88"/>
      <c r="J143" s="88"/>
      <c r="K143" s="88"/>
      <c r="L143" s="88"/>
      <c r="M143" s="89"/>
    </row>
    <row r="144" spans="1:13" x14ac:dyDescent="0.25">
      <c r="A144" s="87"/>
      <c r="B144" s="88"/>
      <c r="C144" s="88"/>
      <c r="D144" s="88"/>
      <c r="E144" s="88"/>
      <c r="F144" s="89"/>
      <c r="H144" s="87"/>
      <c r="I144" s="88"/>
      <c r="J144" s="88"/>
      <c r="K144" s="88"/>
      <c r="L144" s="88"/>
      <c r="M144" s="89"/>
    </row>
    <row r="145" spans="1:13" x14ac:dyDescent="0.25">
      <c r="A145" s="87"/>
      <c r="B145" s="88"/>
      <c r="C145" s="88"/>
      <c r="D145" s="88"/>
      <c r="E145" s="88"/>
      <c r="F145" s="89"/>
      <c r="H145" s="87"/>
      <c r="I145" s="88"/>
      <c r="J145" s="88"/>
      <c r="K145" s="88"/>
      <c r="L145" s="88"/>
      <c r="M145" s="89"/>
    </row>
    <row r="146" spans="1:13" x14ac:dyDescent="0.25">
      <c r="A146" s="87"/>
      <c r="B146" s="88"/>
      <c r="C146" s="88"/>
      <c r="D146" s="88"/>
      <c r="E146" s="88"/>
      <c r="F146" s="89"/>
      <c r="H146" s="87"/>
      <c r="I146" s="88"/>
      <c r="J146" s="88"/>
      <c r="K146" s="88"/>
      <c r="L146" s="88"/>
      <c r="M146" s="89"/>
    </row>
    <row r="147" spans="1:13" x14ac:dyDescent="0.25">
      <c r="A147" s="87"/>
      <c r="B147" s="88"/>
      <c r="C147" s="88"/>
      <c r="D147" s="88"/>
      <c r="E147" s="88"/>
      <c r="F147" s="89"/>
      <c r="H147" s="87"/>
      <c r="I147" s="88"/>
      <c r="J147" s="88"/>
      <c r="K147" s="88"/>
      <c r="L147" s="88"/>
      <c r="M147" s="89"/>
    </row>
    <row r="148" spans="1:13" ht="15.75" thickBot="1" x14ac:dyDescent="0.3">
      <c r="A148" s="98"/>
      <c r="B148" s="99"/>
      <c r="C148" s="99"/>
      <c r="D148" s="99"/>
      <c r="E148" s="99"/>
      <c r="F148" s="100"/>
      <c r="H148" s="98"/>
      <c r="I148" s="99"/>
      <c r="J148" s="99"/>
      <c r="K148" s="99"/>
      <c r="L148" s="99"/>
      <c r="M148" s="100"/>
    </row>
    <row r="149" spans="1:13" ht="15.75" thickBot="1" x14ac:dyDescent="0.3"/>
    <row r="150" spans="1:13" ht="21" x14ac:dyDescent="0.35">
      <c r="A150" s="82" t="s">
        <v>157</v>
      </c>
      <c r="B150" s="84" t="s">
        <v>119</v>
      </c>
      <c r="C150" s="84" t="s">
        <v>132</v>
      </c>
      <c r="D150" s="84" t="s">
        <v>133</v>
      </c>
      <c r="E150" s="85"/>
      <c r="F150" s="86"/>
      <c r="H150" s="82" t="s">
        <v>158</v>
      </c>
      <c r="I150" s="84" t="s">
        <v>135</v>
      </c>
      <c r="J150" s="84" t="s">
        <v>136</v>
      </c>
      <c r="K150" s="84" t="s">
        <v>133</v>
      </c>
      <c r="L150" s="85"/>
      <c r="M150" s="86"/>
    </row>
    <row r="151" spans="1:13" x14ac:dyDescent="0.25">
      <c r="A151" s="87"/>
      <c r="B151" s="88"/>
      <c r="C151" s="88"/>
      <c r="D151" s="88"/>
      <c r="E151" s="88"/>
      <c r="F151" s="89"/>
      <c r="H151" s="87"/>
      <c r="I151" s="88"/>
      <c r="J151" s="88"/>
      <c r="K151" s="88"/>
      <c r="L151" s="88"/>
      <c r="M151" s="89"/>
    </row>
    <row r="152" spans="1:13" x14ac:dyDescent="0.25">
      <c r="A152" s="87"/>
      <c r="B152" s="88"/>
      <c r="C152" s="90" t="s">
        <v>86</v>
      </c>
      <c r="D152" s="90" t="s">
        <v>63</v>
      </c>
      <c r="E152" s="90" t="s">
        <v>87</v>
      </c>
      <c r="F152" s="91" t="s">
        <v>88</v>
      </c>
      <c r="H152" s="87"/>
      <c r="I152" s="88"/>
      <c r="J152" s="90" t="s">
        <v>86</v>
      </c>
      <c r="K152" s="90" t="s">
        <v>63</v>
      </c>
      <c r="L152" s="90" t="s">
        <v>87</v>
      </c>
      <c r="M152" s="91" t="s">
        <v>88</v>
      </c>
    </row>
    <row r="153" spans="1:13" x14ac:dyDescent="0.25">
      <c r="A153" s="92" t="s">
        <v>83</v>
      </c>
      <c r="B153" s="90" t="s">
        <v>125</v>
      </c>
      <c r="C153" s="93">
        <v>4200</v>
      </c>
      <c r="D153" s="93">
        <v>334</v>
      </c>
      <c r="E153" s="94">
        <f>(2*C153)/D153</f>
        <v>25.149700598802394</v>
      </c>
      <c r="F153" s="95">
        <f>(2*C153)/60</f>
        <v>140</v>
      </c>
      <c r="H153" s="92" t="s">
        <v>83</v>
      </c>
      <c r="I153" s="90" t="s">
        <v>125</v>
      </c>
      <c r="J153" s="93">
        <v>4600</v>
      </c>
      <c r="K153" s="93">
        <v>335</v>
      </c>
      <c r="L153" s="94">
        <f>(2*J153)/K153</f>
        <v>27.46268656716418</v>
      </c>
      <c r="M153" s="95">
        <f>(2*J153)/60</f>
        <v>153.33333333333334</v>
      </c>
    </row>
    <row r="154" spans="1:13" x14ac:dyDescent="0.25">
      <c r="A154" s="87"/>
      <c r="B154" s="90" t="s">
        <v>115</v>
      </c>
      <c r="C154" s="93">
        <v>3600</v>
      </c>
      <c r="D154" s="93">
        <v>251</v>
      </c>
      <c r="E154" s="94">
        <f>(2*C154)/D154</f>
        <v>28.685258964143426</v>
      </c>
      <c r="F154" s="95">
        <f>(2*C154)/60</f>
        <v>120</v>
      </c>
      <c r="H154" s="87"/>
      <c r="I154" s="90" t="s">
        <v>85</v>
      </c>
      <c r="J154" s="93">
        <v>3800</v>
      </c>
      <c r="K154" s="93">
        <v>244</v>
      </c>
      <c r="L154" s="94">
        <f>(2*J154)/K154</f>
        <v>31.147540983606557</v>
      </c>
      <c r="M154" s="95">
        <f>(2*J154)/60</f>
        <v>126.66666666666667</v>
      </c>
    </row>
    <row r="155" spans="1:13" x14ac:dyDescent="0.25">
      <c r="A155" s="87"/>
      <c r="B155" s="88"/>
      <c r="C155" s="90" t="s">
        <v>86</v>
      </c>
      <c r="D155" s="90" t="s">
        <v>63</v>
      </c>
      <c r="E155" s="90" t="s">
        <v>87</v>
      </c>
      <c r="F155" s="91" t="s">
        <v>88</v>
      </c>
      <c r="H155" s="87"/>
      <c r="I155" s="88"/>
      <c r="J155" s="90" t="s">
        <v>86</v>
      </c>
      <c r="K155" s="90" t="s">
        <v>63</v>
      </c>
      <c r="L155" s="90" t="s">
        <v>87</v>
      </c>
      <c r="M155" s="91" t="s">
        <v>88</v>
      </c>
    </row>
    <row r="156" spans="1:13" x14ac:dyDescent="0.25">
      <c r="A156" s="92" t="s">
        <v>89</v>
      </c>
      <c r="B156" s="90" t="s">
        <v>126</v>
      </c>
      <c r="C156" s="93">
        <v>3850</v>
      </c>
      <c r="D156" s="93">
        <v>398</v>
      </c>
      <c r="E156" s="94">
        <f>(2*C156)/D156</f>
        <v>19.346733668341709</v>
      </c>
      <c r="F156" s="95">
        <f>(2*C156)/60</f>
        <v>128.33333333333334</v>
      </c>
      <c r="H156" s="92" t="s">
        <v>89</v>
      </c>
      <c r="I156" s="90" t="s">
        <v>120</v>
      </c>
      <c r="J156" s="93">
        <v>4200</v>
      </c>
      <c r="K156" s="93">
        <v>373</v>
      </c>
      <c r="L156" s="94">
        <f>(2*J156)/K156</f>
        <v>22.520107238605899</v>
      </c>
      <c r="M156" s="95">
        <f>(2*J156)/60</f>
        <v>140</v>
      </c>
    </row>
    <row r="157" spans="1:13" x14ac:dyDescent="0.25">
      <c r="A157" s="87"/>
      <c r="B157" s="90" t="s">
        <v>121</v>
      </c>
      <c r="C157" s="93">
        <v>3250</v>
      </c>
      <c r="D157" s="93">
        <v>287</v>
      </c>
      <c r="E157" s="94">
        <f>(2*C157)/D157</f>
        <v>22.648083623693381</v>
      </c>
      <c r="F157" s="95">
        <f>(2*C157)/60</f>
        <v>108.33333333333333</v>
      </c>
      <c r="H157" s="87"/>
      <c r="I157" s="90" t="s">
        <v>137</v>
      </c>
      <c r="J157" s="93">
        <v>3500</v>
      </c>
      <c r="K157" s="93">
        <v>280</v>
      </c>
      <c r="L157" s="94">
        <f>(2*J157)/K157</f>
        <v>25</v>
      </c>
      <c r="M157" s="95">
        <f>(2*J157)/60</f>
        <v>116.66666666666667</v>
      </c>
    </row>
    <row r="158" spans="1:13" x14ac:dyDescent="0.25">
      <c r="A158" s="87"/>
      <c r="B158" s="88"/>
      <c r="C158" s="90" t="s">
        <v>86</v>
      </c>
      <c r="D158" s="90" t="s">
        <v>63</v>
      </c>
      <c r="E158" s="90" t="s">
        <v>87</v>
      </c>
      <c r="F158" s="91" t="s">
        <v>88</v>
      </c>
      <c r="H158" s="87"/>
      <c r="I158" s="88"/>
      <c r="J158" s="90" t="s">
        <v>86</v>
      </c>
      <c r="K158" s="90" t="s">
        <v>63</v>
      </c>
      <c r="L158" s="90" t="s">
        <v>87</v>
      </c>
      <c r="M158" s="91" t="s">
        <v>88</v>
      </c>
    </row>
    <row r="159" spans="1:13" x14ac:dyDescent="0.25">
      <c r="A159" s="92" t="s">
        <v>92</v>
      </c>
      <c r="B159" s="90" t="s">
        <v>122</v>
      </c>
      <c r="C159" s="93">
        <v>3400</v>
      </c>
      <c r="D159" s="93">
        <v>473</v>
      </c>
      <c r="E159" s="94">
        <f>(2*C159)/D159</f>
        <v>14.376321353065538</v>
      </c>
      <c r="F159" s="95">
        <f>(2*C159)/60</f>
        <v>113.33333333333333</v>
      </c>
      <c r="H159" s="92" t="s">
        <v>92</v>
      </c>
      <c r="I159" s="90" t="s">
        <v>138</v>
      </c>
      <c r="J159" s="93">
        <v>3450</v>
      </c>
      <c r="K159" s="93">
        <v>459</v>
      </c>
      <c r="L159" s="94">
        <f>(2*J159)/K159</f>
        <v>15.032679738562091</v>
      </c>
      <c r="M159" s="95">
        <f>(2*J159)/60</f>
        <v>115</v>
      </c>
    </row>
    <row r="160" spans="1:13" x14ac:dyDescent="0.25">
      <c r="A160" s="87"/>
      <c r="B160" s="90" t="s">
        <v>134</v>
      </c>
      <c r="C160" s="93">
        <v>2900</v>
      </c>
      <c r="D160" s="93">
        <v>403</v>
      </c>
      <c r="E160" s="94">
        <f>(2*C160)/D160</f>
        <v>14.392059553349876</v>
      </c>
      <c r="F160" s="101">
        <f>(2*C160)/60</f>
        <v>96.666666666666671</v>
      </c>
      <c r="H160" s="87"/>
      <c r="I160" s="90" t="s">
        <v>123</v>
      </c>
      <c r="J160" s="93">
        <v>3100</v>
      </c>
      <c r="K160" s="93">
        <v>393</v>
      </c>
      <c r="L160" s="94">
        <f>(2*J160)/K160</f>
        <v>15.776081424936386</v>
      </c>
      <c r="M160" s="101">
        <f>(2*J160)/60</f>
        <v>103.33333333333333</v>
      </c>
    </row>
    <row r="161" spans="1:13" x14ac:dyDescent="0.25">
      <c r="A161" s="87"/>
      <c r="B161" s="88" t="s">
        <v>33</v>
      </c>
      <c r="C161" s="88" t="s">
        <v>87</v>
      </c>
      <c r="D161" s="88"/>
      <c r="E161" s="88"/>
      <c r="F161" s="89"/>
      <c r="H161" s="87"/>
      <c r="I161" s="88" t="s">
        <v>33</v>
      </c>
      <c r="J161" s="88" t="s">
        <v>87</v>
      </c>
      <c r="K161" s="88"/>
      <c r="L161" s="88"/>
      <c r="M161" s="89"/>
    </row>
    <row r="162" spans="1:13" x14ac:dyDescent="0.25">
      <c r="A162" s="87"/>
      <c r="B162" s="97" t="s">
        <v>83</v>
      </c>
      <c r="C162" s="88">
        <v>25</v>
      </c>
      <c r="D162" s="88"/>
      <c r="E162" s="88"/>
      <c r="F162" s="89"/>
      <c r="H162" s="87"/>
      <c r="I162" s="97" t="s">
        <v>83</v>
      </c>
      <c r="J162" s="88">
        <v>27</v>
      </c>
      <c r="K162" s="88"/>
      <c r="L162" s="88"/>
      <c r="M162" s="89"/>
    </row>
    <row r="163" spans="1:13" x14ac:dyDescent="0.25">
      <c r="A163" s="87"/>
      <c r="B163" s="97" t="s">
        <v>89</v>
      </c>
      <c r="C163" s="88">
        <v>19</v>
      </c>
      <c r="D163" s="88"/>
      <c r="E163" s="88"/>
      <c r="F163" s="89"/>
      <c r="H163" s="87"/>
      <c r="I163" s="97" t="s">
        <v>89</v>
      </c>
      <c r="J163" s="88">
        <v>23</v>
      </c>
      <c r="K163" s="88"/>
      <c r="L163" s="88"/>
      <c r="M163" s="89"/>
    </row>
    <row r="164" spans="1:13" x14ac:dyDescent="0.25">
      <c r="A164" s="87"/>
      <c r="B164" s="97" t="s">
        <v>92</v>
      </c>
      <c r="C164" s="88">
        <v>14</v>
      </c>
      <c r="D164" s="88"/>
      <c r="E164" s="88"/>
      <c r="F164" s="89"/>
      <c r="H164" s="87"/>
      <c r="I164" s="97" t="s">
        <v>92</v>
      </c>
      <c r="J164" s="88">
        <v>15</v>
      </c>
      <c r="K164" s="88"/>
      <c r="L164" s="88"/>
      <c r="M164" s="89"/>
    </row>
    <row r="165" spans="1:13" x14ac:dyDescent="0.25">
      <c r="A165" s="87"/>
      <c r="B165" s="88" t="s">
        <v>32</v>
      </c>
      <c r="C165" s="88" t="s">
        <v>88</v>
      </c>
      <c r="D165" s="88"/>
      <c r="E165" s="88"/>
      <c r="F165" s="89"/>
      <c r="H165" s="87"/>
      <c r="I165" s="88" t="s">
        <v>32</v>
      </c>
      <c r="J165" s="88" t="s">
        <v>88</v>
      </c>
      <c r="K165" s="88"/>
      <c r="L165" s="88"/>
      <c r="M165" s="89"/>
    </row>
    <row r="166" spans="1:13" x14ac:dyDescent="0.25">
      <c r="A166" s="87"/>
      <c r="B166" s="97" t="s">
        <v>83</v>
      </c>
      <c r="C166" s="88">
        <v>120</v>
      </c>
      <c r="D166" s="88"/>
      <c r="E166" s="88"/>
      <c r="F166" s="89"/>
      <c r="H166" s="87"/>
      <c r="I166" s="97" t="s">
        <v>83</v>
      </c>
      <c r="J166" s="88">
        <v>127</v>
      </c>
      <c r="K166" s="88"/>
      <c r="L166" s="88"/>
      <c r="M166" s="89"/>
    </row>
    <row r="167" spans="1:13" x14ac:dyDescent="0.25">
      <c r="A167" s="87"/>
      <c r="B167" s="97" t="s">
        <v>89</v>
      </c>
      <c r="C167" s="88">
        <v>108</v>
      </c>
      <c r="D167" s="88"/>
      <c r="E167" s="88"/>
      <c r="F167" s="89"/>
      <c r="H167" s="87"/>
      <c r="I167" s="97" t="s">
        <v>89</v>
      </c>
      <c r="J167" s="88">
        <v>117</v>
      </c>
      <c r="K167" s="88"/>
      <c r="L167" s="88"/>
      <c r="M167" s="89"/>
    </row>
    <row r="168" spans="1:13" x14ac:dyDescent="0.25">
      <c r="A168" s="87"/>
      <c r="B168" s="97" t="s">
        <v>92</v>
      </c>
      <c r="C168" s="88">
        <v>97</v>
      </c>
      <c r="D168" s="88"/>
      <c r="E168" s="88"/>
      <c r="F168" s="89"/>
      <c r="H168" s="87"/>
      <c r="I168" s="97" t="s">
        <v>92</v>
      </c>
      <c r="J168" s="88">
        <v>103</v>
      </c>
      <c r="K168" s="88"/>
      <c r="L168" s="88"/>
      <c r="M168" s="89"/>
    </row>
    <row r="169" spans="1:13" x14ac:dyDescent="0.25">
      <c r="A169" s="87"/>
      <c r="B169" s="88"/>
      <c r="C169" s="88"/>
      <c r="D169" s="88"/>
      <c r="E169" s="88"/>
      <c r="F169" s="89"/>
      <c r="H169" s="87"/>
      <c r="I169" s="88"/>
      <c r="J169" s="88"/>
      <c r="K169" s="88"/>
      <c r="L169" s="88"/>
      <c r="M169" s="89"/>
    </row>
    <row r="170" spans="1:13" x14ac:dyDescent="0.25">
      <c r="A170" s="87"/>
      <c r="B170" s="88"/>
      <c r="C170" s="88"/>
      <c r="D170" s="88"/>
      <c r="E170" s="88"/>
      <c r="F170" s="89"/>
      <c r="H170" s="87"/>
      <c r="I170" s="88"/>
      <c r="J170" s="88"/>
      <c r="K170" s="88"/>
      <c r="L170" s="88"/>
      <c r="M170" s="89"/>
    </row>
    <row r="171" spans="1:13" x14ac:dyDescent="0.25">
      <c r="A171" s="87"/>
      <c r="B171" s="88"/>
      <c r="C171" s="88"/>
      <c r="D171" s="88"/>
      <c r="E171" s="88"/>
      <c r="F171" s="89"/>
      <c r="H171" s="87"/>
      <c r="I171" s="88"/>
      <c r="J171" s="88"/>
      <c r="K171" s="88"/>
      <c r="L171" s="88"/>
      <c r="M171" s="89"/>
    </row>
    <row r="172" spans="1:13" x14ac:dyDescent="0.25">
      <c r="A172" s="87"/>
      <c r="B172" s="88"/>
      <c r="C172" s="88"/>
      <c r="D172" s="88"/>
      <c r="E172" s="88"/>
      <c r="F172" s="89"/>
      <c r="H172" s="87"/>
      <c r="I172" s="88"/>
      <c r="J172" s="88"/>
      <c r="K172" s="88"/>
      <c r="L172" s="88"/>
      <c r="M172" s="89"/>
    </row>
    <row r="173" spans="1:13" x14ac:dyDescent="0.25">
      <c r="A173" s="87"/>
      <c r="B173" s="88"/>
      <c r="C173" s="88"/>
      <c r="D173" s="88"/>
      <c r="E173" s="88"/>
      <c r="F173" s="89"/>
      <c r="H173" s="87"/>
      <c r="I173" s="88"/>
      <c r="J173" s="88"/>
      <c r="K173" s="88"/>
      <c r="L173" s="88"/>
      <c r="M173" s="89"/>
    </row>
    <row r="174" spans="1:13" x14ac:dyDescent="0.25">
      <c r="A174" s="87"/>
      <c r="B174" s="88"/>
      <c r="C174" s="88"/>
      <c r="D174" s="88"/>
      <c r="E174" s="88"/>
      <c r="F174" s="89"/>
      <c r="H174" s="87"/>
      <c r="I174" s="88"/>
      <c r="J174" s="88"/>
      <c r="K174" s="88"/>
      <c r="L174" s="88"/>
      <c r="M174" s="89"/>
    </row>
    <row r="175" spans="1:13" x14ac:dyDescent="0.25">
      <c r="A175" s="87"/>
      <c r="B175" s="88"/>
      <c r="C175" s="88"/>
      <c r="D175" s="88"/>
      <c r="E175" s="88"/>
      <c r="F175" s="89"/>
      <c r="H175" s="87"/>
      <c r="I175" s="88"/>
      <c r="J175" s="88"/>
      <c r="K175" s="88"/>
      <c r="L175" s="88"/>
      <c r="M175" s="89"/>
    </row>
    <row r="176" spans="1:13" x14ac:dyDescent="0.25">
      <c r="A176" s="87"/>
      <c r="B176" s="88"/>
      <c r="C176" s="88"/>
      <c r="D176" s="88"/>
      <c r="E176" s="88"/>
      <c r="F176" s="89"/>
      <c r="H176" s="87"/>
      <c r="I176" s="88"/>
      <c r="J176" s="88"/>
      <c r="K176" s="88"/>
      <c r="L176" s="88"/>
      <c r="M176" s="89"/>
    </row>
    <row r="177" spans="1:13" x14ac:dyDescent="0.25">
      <c r="A177" s="87"/>
      <c r="B177" s="88"/>
      <c r="C177" s="88"/>
      <c r="D177" s="88"/>
      <c r="E177" s="88"/>
      <c r="F177" s="89"/>
      <c r="H177" s="87"/>
      <c r="I177" s="88"/>
      <c r="J177" s="88"/>
      <c r="K177" s="88"/>
      <c r="L177" s="88"/>
      <c r="M177" s="89"/>
    </row>
    <row r="178" spans="1:13" x14ac:dyDescent="0.25">
      <c r="A178" s="87"/>
      <c r="B178" s="88"/>
      <c r="C178" s="88"/>
      <c r="D178" s="88"/>
      <c r="E178" s="88"/>
      <c r="F178" s="89"/>
      <c r="H178" s="87"/>
      <c r="I178" s="88"/>
      <c r="J178" s="88"/>
      <c r="K178" s="88"/>
      <c r="L178" s="88"/>
      <c r="M178" s="89"/>
    </row>
    <row r="179" spans="1:13" x14ac:dyDescent="0.25">
      <c r="A179" s="87"/>
      <c r="B179" s="88"/>
      <c r="C179" s="88"/>
      <c r="D179" s="88"/>
      <c r="E179" s="88"/>
      <c r="F179" s="89"/>
      <c r="H179" s="87"/>
      <c r="I179" s="88"/>
      <c r="J179" s="88"/>
      <c r="K179" s="88"/>
      <c r="L179" s="88"/>
      <c r="M179" s="89"/>
    </row>
    <row r="180" spans="1:13" x14ac:dyDescent="0.25">
      <c r="A180" s="87"/>
      <c r="B180" s="88"/>
      <c r="C180" s="88"/>
      <c r="D180" s="88"/>
      <c r="E180" s="88"/>
      <c r="F180" s="89"/>
      <c r="H180" s="87"/>
      <c r="I180" s="88"/>
      <c r="J180" s="88"/>
      <c r="K180" s="88"/>
      <c r="L180" s="88"/>
      <c r="M180" s="89"/>
    </row>
    <row r="181" spans="1:13" x14ac:dyDescent="0.25">
      <c r="A181" s="87"/>
      <c r="B181" s="88"/>
      <c r="C181" s="88"/>
      <c r="D181" s="88"/>
      <c r="E181" s="88"/>
      <c r="F181" s="89"/>
      <c r="H181" s="87"/>
      <c r="I181" s="88"/>
      <c r="J181" s="88"/>
      <c r="K181" s="88"/>
      <c r="L181" s="88"/>
      <c r="M181" s="89"/>
    </row>
    <row r="182" spans="1:13" x14ac:dyDescent="0.25">
      <c r="A182" s="87"/>
      <c r="B182" s="88"/>
      <c r="C182" s="88"/>
      <c r="D182" s="88"/>
      <c r="E182" s="88"/>
      <c r="F182" s="89"/>
      <c r="H182" s="87"/>
      <c r="I182" s="88"/>
      <c r="J182" s="88"/>
      <c r="K182" s="88"/>
      <c r="L182" s="88"/>
      <c r="M182" s="89"/>
    </row>
    <row r="183" spans="1:13" x14ac:dyDescent="0.25">
      <c r="A183" s="87"/>
      <c r="B183" s="88"/>
      <c r="C183" s="88"/>
      <c r="D183" s="88"/>
      <c r="E183" s="88"/>
      <c r="F183" s="89"/>
      <c r="H183" s="87"/>
      <c r="I183" s="88"/>
      <c r="J183" s="88"/>
      <c r="K183" s="88"/>
      <c r="L183" s="88"/>
      <c r="M183" s="89"/>
    </row>
    <row r="184" spans="1:13" x14ac:dyDescent="0.25">
      <c r="A184" s="87"/>
      <c r="B184" s="88"/>
      <c r="C184" s="88"/>
      <c r="D184" s="88"/>
      <c r="E184" s="88"/>
      <c r="F184" s="89"/>
      <c r="H184" s="87"/>
      <c r="I184" s="88"/>
      <c r="J184" s="88"/>
      <c r="K184" s="88"/>
      <c r="L184" s="88"/>
      <c r="M184" s="89"/>
    </row>
    <row r="185" spans="1:13" ht="15.75" thickBot="1" x14ac:dyDescent="0.3">
      <c r="A185" s="98"/>
      <c r="B185" s="99"/>
      <c r="C185" s="99"/>
      <c r="D185" s="99"/>
      <c r="E185" s="99"/>
      <c r="F185" s="100"/>
      <c r="H185" s="98"/>
      <c r="I185" s="99"/>
      <c r="J185" s="99"/>
      <c r="K185" s="99"/>
      <c r="L185" s="99"/>
      <c r="M185" s="100"/>
    </row>
  </sheetData>
  <mergeCells count="11">
    <mergeCell ref="T18:T21"/>
    <mergeCell ref="T25:T28"/>
    <mergeCell ref="T32:T35"/>
    <mergeCell ref="T38:V38"/>
    <mergeCell ref="E14:F14"/>
    <mergeCell ref="L14:M14"/>
    <mergeCell ref="O2:O5"/>
    <mergeCell ref="O7:O12"/>
    <mergeCell ref="O17:O22"/>
    <mergeCell ref="O26:O31"/>
    <mergeCell ref="O35:O40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D92AB-76B3-44D6-A5FD-42D184712EE8}">
  <dimension ref="A1:V92"/>
  <sheetViews>
    <sheetView workbookViewId="0">
      <selection activeCell="E10" sqref="E10"/>
    </sheetView>
  </sheetViews>
  <sheetFormatPr baseColWidth="10" defaultRowHeight="15" x14ac:dyDescent="0.25"/>
  <cols>
    <col min="1" max="1" width="23.7109375" style="31" bestFit="1" customWidth="1"/>
    <col min="2" max="5" width="11.42578125" style="31"/>
    <col min="10" max="10" width="13.7109375" style="31" bestFit="1" customWidth="1"/>
    <col min="12" max="12" width="23.42578125" bestFit="1" customWidth="1"/>
  </cols>
  <sheetData>
    <row r="1" spans="1:22" x14ac:dyDescent="0.25">
      <c r="A1" s="30" t="s">
        <v>31</v>
      </c>
      <c r="B1" s="34" t="s">
        <v>46</v>
      </c>
      <c r="C1" s="30"/>
      <c r="D1" s="30"/>
      <c r="E1" s="30" t="s">
        <v>47</v>
      </c>
      <c r="G1" s="135" t="s">
        <v>55</v>
      </c>
      <c r="H1" s="135"/>
      <c r="I1" s="135"/>
      <c r="J1" s="135"/>
    </row>
    <row r="2" spans="1:22" x14ac:dyDescent="0.25">
      <c r="A2" s="32" t="s">
        <v>39</v>
      </c>
      <c r="B2" s="32" t="s">
        <v>32</v>
      </c>
      <c r="C2" s="32" t="s">
        <v>33</v>
      </c>
      <c r="D2" s="32" t="s">
        <v>34</v>
      </c>
      <c r="E2" s="35" t="s">
        <v>35</v>
      </c>
      <c r="G2" s="43" t="s">
        <v>32</v>
      </c>
      <c r="H2" s="43" t="s">
        <v>33</v>
      </c>
      <c r="I2" s="43" t="s">
        <v>34</v>
      </c>
      <c r="J2" s="43" t="s">
        <v>58</v>
      </c>
      <c r="L2" s="46" t="s">
        <v>56</v>
      </c>
    </row>
    <row r="3" spans="1:22" x14ac:dyDescent="0.25">
      <c r="A3" s="32" t="s">
        <v>36</v>
      </c>
      <c r="B3" s="33">
        <v>0.37</v>
      </c>
      <c r="C3" s="33">
        <v>0.49</v>
      </c>
      <c r="D3" s="33">
        <v>0.91</v>
      </c>
      <c r="E3" s="36">
        <v>1.01</v>
      </c>
      <c r="G3" s="44"/>
      <c r="H3" s="44"/>
      <c r="I3" s="44"/>
      <c r="J3" s="48"/>
      <c r="L3" s="47">
        <f>AVERAGE(G12,H12,I12,G18,H18,I18,G24,H24,I24,G30,H30,I30)</f>
        <v>1.2141554264128507</v>
      </c>
      <c r="R3" t="s">
        <v>61</v>
      </c>
      <c r="S3" t="s">
        <v>63</v>
      </c>
      <c r="T3" t="s">
        <v>64</v>
      </c>
    </row>
    <row r="4" spans="1:22" x14ac:dyDescent="0.25">
      <c r="A4" s="32" t="s">
        <v>37</v>
      </c>
      <c r="B4" s="33">
        <v>31</v>
      </c>
      <c r="C4" s="33">
        <v>35</v>
      </c>
      <c r="D4" s="33">
        <v>103</v>
      </c>
      <c r="E4" s="36">
        <v>335</v>
      </c>
      <c r="G4" s="44"/>
      <c r="H4" s="44"/>
      <c r="I4" s="44"/>
      <c r="J4" s="48"/>
      <c r="L4" s="31"/>
      <c r="R4" t="s">
        <v>62</v>
      </c>
      <c r="S4">
        <v>436</v>
      </c>
      <c r="T4">
        <v>36</v>
      </c>
    </row>
    <row r="5" spans="1:22" x14ac:dyDescent="0.25">
      <c r="A5" s="32" t="s">
        <v>38</v>
      </c>
      <c r="B5" s="33">
        <v>248</v>
      </c>
      <c r="C5" s="33">
        <v>327</v>
      </c>
      <c r="D5" s="33">
        <v>608</v>
      </c>
      <c r="E5" s="36">
        <v>674</v>
      </c>
      <c r="G5" s="44"/>
      <c r="H5" s="44"/>
      <c r="I5" s="44"/>
      <c r="J5" s="48"/>
      <c r="L5" s="46" t="s">
        <v>57</v>
      </c>
      <c r="R5">
        <v>40</v>
      </c>
      <c r="S5">
        <v>395</v>
      </c>
      <c r="T5">
        <v>36</v>
      </c>
    </row>
    <row r="6" spans="1:22" x14ac:dyDescent="0.25">
      <c r="A6" s="32" t="s">
        <v>50</v>
      </c>
      <c r="B6" s="42">
        <f>(B4*100*2)/B5</f>
        <v>25</v>
      </c>
      <c r="C6" s="42">
        <f t="shared" ref="C6:E6" si="0">(C4*100*2)/C5</f>
        <v>21.406727828746178</v>
      </c>
      <c r="D6" s="42">
        <f t="shared" si="0"/>
        <v>33.881578947368418</v>
      </c>
      <c r="E6" s="41">
        <f t="shared" si="0"/>
        <v>99.406528189910986</v>
      </c>
      <c r="G6" s="44"/>
      <c r="H6" s="44"/>
      <c r="I6" s="44"/>
      <c r="J6" s="45">
        <f>E6/D6</f>
        <v>2.9339402494886353</v>
      </c>
      <c r="L6" s="47">
        <f>AVERAGE(J6,J12,J18,J24,J30)</f>
        <v>2.5175578285517717</v>
      </c>
    </row>
    <row r="7" spans="1:22" x14ac:dyDescent="0.25">
      <c r="G7" s="44"/>
      <c r="H7" s="44"/>
      <c r="I7" s="44"/>
      <c r="J7" s="48"/>
      <c r="S7" t="s">
        <v>59</v>
      </c>
      <c r="T7" t="s">
        <v>60</v>
      </c>
      <c r="V7" t="s">
        <v>19</v>
      </c>
    </row>
    <row r="8" spans="1:22" x14ac:dyDescent="0.25">
      <c r="A8" s="32" t="s">
        <v>40</v>
      </c>
      <c r="B8" s="32" t="s">
        <v>32</v>
      </c>
      <c r="C8" s="32" t="s">
        <v>33</v>
      </c>
      <c r="D8" s="32" t="s">
        <v>34</v>
      </c>
      <c r="E8" s="35" t="s">
        <v>35</v>
      </c>
      <c r="G8" s="44"/>
      <c r="H8" s="44"/>
      <c r="I8" s="44"/>
      <c r="J8" s="48"/>
      <c r="R8">
        <v>25</v>
      </c>
      <c r="S8">
        <v>13</v>
      </c>
      <c r="T8">
        <f>R8-S8</f>
        <v>12</v>
      </c>
      <c r="U8">
        <v>30000</v>
      </c>
      <c r="V8">
        <f>T8/U8</f>
        <v>4.0000000000000002E-4</v>
      </c>
    </row>
    <row r="9" spans="1:22" x14ac:dyDescent="0.25">
      <c r="A9" s="32" t="s">
        <v>36</v>
      </c>
      <c r="B9" s="33">
        <v>0.43</v>
      </c>
      <c r="C9" s="33">
        <v>0.56999999999999995</v>
      </c>
      <c r="D9" s="33">
        <v>0.95</v>
      </c>
      <c r="E9" s="36">
        <v>1.1100000000000001</v>
      </c>
      <c r="G9" s="44"/>
      <c r="H9" s="44"/>
      <c r="I9" s="44"/>
      <c r="J9" s="48"/>
    </row>
    <row r="10" spans="1:22" x14ac:dyDescent="0.25">
      <c r="A10" s="32" t="s">
        <v>37</v>
      </c>
      <c r="B10" s="33">
        <v>29</v>
      </c>
      <c r="C10" s="33">
        <v>34</v>
      </c>
      <c r="D10" s="33">
        <v>94</v>
      </c>
      <c r="E10" s="36">
        <v>306</v>
      </c>
      <c r="G10" s="44"/>
      <c r="H10" s="44"/>
      <c r="I10" s="44"/>
      <c r="J10" s="48"/>
    </row>
    <row r="11" spans="1:22" x14ac:dyDescent="0.25">
      <c r="A11" s="32" t="s">
        <v>38</v>
      </c>
      <c r="B11" s="33">
        <v>280</v>
      </c>
      <c r="C11" s="33">
        <v>366</v>
      </c>
      <c r="D11" s="33">
        <v>610</v>
      </c>
      <c r="E11" s="36">
        <v>715</v>
      </c>
      <c r="G11" s="44"/>
      <c r="H11" s="44"/>
      <c r="I11" s="44"/>
      <c r="J11" s="48"/>
    </row>
    <row r="12" spans="1:22" x14ac:dyDescent="0.25">
      <c r="A12" s="32" t="s">
        <v>51</v>
      </c>
      <c r="B12" s="42">
        <f>(B10*100*2)/B11</f>
        <v>20.714285714285715</v>
      </c>
      <c r="C12" s="42">
        <f t="shared" ref="C12" si="1">(C10*100*2)/C11</f>
        <v>18.579234972677597</v>
      </c>
      <c r="D12" s="42">
        <f t="shared" ref="D12" si="2">(D10*100*2)/D11</f>
        <v>30.819672131147541</v>
      </c>
      <c r="E12" s="41">
        <f t="shared" ref="E12" si="3">(E10*100*2)/E11</f>
        <v>85.5944055944056</v>
      </c>
      <c r="G12" s="45">
        <f>B6/B12</f>
        <v>1.2068965517241379</v>
      </c>
      <c r="H12" s="45">
        <f>C6/C12</f>
        <v>1.1521856449001617</v>
      </c>
      <c r="I12" s="45">
        <f>D6/D12</f>
        <v>1.099349104143337</v>
      </c>
      <c r="J12" s="45">
        <f>E12/D12</f>
        <v>2.7772652879035857</v>
      </c>
    </row>
    <row r="13" spans="1:22" x14ac:dyDescent="0.25">
      <c r="G13" s="44"/>
      <c r="H13" s="44"/>
      <c r="I13" s="44"/>
      <c r="J13" s="48"/>
    </row>
    <row r="14" spans="1:22" x14ac:dyDescent="0.25">
      <c r="A14" s="32" t="s">
        <v>41</v>
      </c>
      <c r="B14" s="32" t="s">
        <v>32</v>
      </c>
      <c r="C14" s="32" t="s">
        <v>33</v>
      </c>
      <c r="D14" s="32" t="s">
        <v>34</v>
      </c>
      <c r="E14" s="35" t="s">
        <v>35</v>
      </c>
      <c r="G14" s="44"/>
      <c r="H14" s="44"/>
      <c r="I14" s="44"/>
      <c r="J14" s="48"/>
    </row>
    <row r="15" spans="1:22" x14ac:dyDescent="0.25">
      <c r="A15" s="32" t="s">
        <v>36</v>
      </c>
      <c r="B15" s="33">
        <v>0.54</v>
      </c>
      <c r="C15" s="33">
        <v>0.69</v>
      </c>
      <c r="D15" s="33">
        <v>0.96</v>
      </c>
      <c r="E15" s="36">
        <v>1.25</v>
      </c>
      <c r="G15" s="44"/>
      <c r="H15" s="44"/>
      <c r="I15" s="44"/>
      <c r="J15" s="48"/>
    </row>
    <row r="16" spans="1:22" x14ac:dyDescent="0.25">
      <c r="A16" s="32" t="s">
        <v>37</v>
      </c>
      <c r="B16" s="33">
        <v>26</v>
      </c>
      <c r="C16" s="33">
        <v>31</v>
      </c>
      <c r="D16" s="33">
        <v>80</v>
      </c>
      <c r="E16" s="36">
        <v>259</v>
      </c>
      <c r="G16" s="44"/>
      <c r="H16" s="44"/>
      <c r="I16" s="44"/>
      <c r="J16" s="48"/>
    </row>
    <row r="17" spans="1:10" x14ac:dyDescent="0.25">
      <c r="A17" s="32" t="s">
        <v>38</v>
      </c>
      <c r="B17" s="33">
        <v>336</v>
      </c>
      <c r="C17" s="33">
        <v>426</v>
      </c>
      <c r="D17" s="33">
        <v>600</v>
      </c>
      <c r="E17" s="36">
        <v>770</v>
      </c>
      <c r="G17" s="44"/>
      <c r="H17" s="44"/>
      <c r="I17" s="44"/>
      <c r="J17" s="48"/>
    </row>
    <row r="18" spans="1:10" x14ac:dyDescent="0.25">
      <c r="A18" s="32" t="s">
        <v>52</v>
      </c>
      <c r="B18" s="42">
        <f>(B16*100*2)/B17</f>
        <v>15.476190476190476</v>
      </c>
      <c r="C18" s="42">
        <f t="shared" ref="C18" si="4">(C16*100*2)/C17</f>
        <v>14.553990610328638</v>
      </c>
      <c r="D18" s="42">
        <f t="shared" ref="D18" si="5">(D16*100*2)/D17</f>
        <v>26.666666666666668</v>
      </c>
      <c r="E18" s="41">
        <f t="shared" ref="E18" si="6">(E16*100*2)/E17</f>
        <v>67.272727272727266</v>
      </c>
      <c r="G18" s="45">
        <f>B12/B18</f>
        <v>1.3384615384615386</v>
      </c>
      <c r="H18" s="45">
        <f>C12/C18</f>
        <v>1.2765732416710736</v>
      </c>
      <c r="I18" s="45">
        <f>D12/D18</f>
        <v>1.1557377049180328</v>
      </c>
      <c r="J18" s="45">
        <f>E18/D18</f>
        <v>2.5227272727272725</v>
      </c>
    </row>
    <row r="19" spans="1:10" x14ac:dyDescent="0.25">
      <c r="G19" s="44"/>
      <c r="H19" s="44"/>
      <c r="I19" s="44"/>
      <c r="J19" s="48"/>
    </row>
    <row r="20" spans="1:10" x14ac:dyDescent="0.25">
      <c r="A20" s="32" t="s">
        <v>42</v>
      </c>
      <c r="B20" s="32" t="s">
        <v>32</v>
      </c>
      <c r="C20" s="32" t="s">
        <v>33</v>
      </c>
      <c r="D20" s="32" t="s">
        <v>34</v>
      </c>
      <c r="E20" s="35" t="s">
        <v>35</v>
      </c>
      <c r="G20" s="44"/>
      <c r="H20" s="44"/>
      <c r="I20" s="44"/>
      <c r="J20" s="48"/>
    </row>
    <row r="21" spans="1:10" x14ac:dyDescent="0.25">
      <c r="A21" s="32" t="s">
        <v>36</v>
      </c>
      <c r="B21" s="33">
        <v>0.66</v>
      </c>
      <c r="C21" s="33">
        <v>0.81</v>
      </c>
      <c r="D21" s="33">
        <v>0.98</v>
      </c>
      <c r="E21" s="36">
        <v>1.33</v>
      </c>
      <c r="G21" s="44"/>
      <c r="H21" s="44"/>
      <c r="I21" s="44"/>
      <c r="J21" s="48"/>
    </row>
    <row r="22" spans="1:10" x14ac:dyDescent="0.25">
      <c r="A22" s="32" t="s">
        <v>37</v>
      </c>
      <c r="B22" s="33">
        <v>25</v>
      </c>
      <c r="C22" s="33">
        <v>30</v>
      </c>
      <c r="D22" s="33">
        <v>78</v>
      </c>
      <c r="E22" s="36">
        <v>217</v>
      </c>
      <c r="G22" s="44"/>
      <c r="H22" s="44"/>
      <c r="I22" s="44"/>
      <c r="J22" s="48"/>
    </row>
    <row r="23" spans="1:10" x14ac:dyDescent="0.25">
      <c r="A23" s="32" t="s">
        <v>38</v>
      </c>
      <c r="B23" s="33">
        <v>394</v>
      </c>
      <c r="C23" s="33">
        <v>483</v>
      </c>
      <c r="D23" s="33">
        <v>596</v>
      </c>
      <c r="E23" s="36">
        <v>810</v>
      </c>
      <c r="G23" s="44"/>
      <c r="H23" s="44"/>
      <c r="I23" s="44"/>
      <c r="J23" s="48"/>
    </row>
    <row r="24" spans="1:10" x14ac:dyDescent="0.25">
      <c r="A24" s="32" t="s">
        <v>53</v>
      </c>
      <c r="B24" s="42">
        <f>(B22*100*2)/B23</f>
        <v>12.690355329949238</v>
      </c>
      <c r="C24" s="42">
        <f t="shared" ref="C24" si="7">(C22*100*2)/C23</f>
        <v>12.422360248447205</v>
      </c>
      <c r="D24" s="42">
        <v>24</v>
      </c>
      <c r="E24" s="41">
        <f t="shared" ref="E24" si="8">(E22*100*2)/E23</f>
        <v>53.580246913580247</v>
      </c>
      <c r="G24" s="45">
        <f>B18/B24</f>
        <v>1.2195238095238097</v>
      </c>
      <c r="H24" s="45">
        <f>C18/C24</f>
        <v>1.1715962441314554</v>
      </c>
      <c r="I24" s="45">
        <f>D18/D24</f>
        <v>1.1111111111111112</v>
      </c>
      <c r="J24" s="45">
        <f>E24/D24</f>
        <v>2.2325102880658436</v>
      </c>
    </row>
    <row r="25" spans="1:10" x14ac:dyDescent="0.25">
      <c r="G25" s="44"/>
      <c r="H25" s="44"/>
      <c r="I25" s="44"/>
      <c r="J25" s="48"/>
    </row>
    <row r="26" spans="1:10" x14ac:dyDescent="0.25">
      <c r="A26" s="32" t="s">
        <v>43</v>
      </c>
      <c r="B26" s="32" t="s">
        <v>32</v>
      </c>
      <c r="C26" s="32" t="s">
        <v>33</v>
      </c>
      <c r="D26" s="32" t="s">
        <v>34</v>
      </c>
      <c r="E26" s="35" t="s">
        <v>35</v>
      </c>
      <c r="G26" s="44"/>
      <c r="H26" s="44"/>
      <c r="I26" s="44"/>
      <c r="J26" s="48"/>
    </row>
    <row r="27" spans="1:10" x14ac:dyDescent="0.25">
      <c r="A27" s="32" t="s">
        <v>36</v>
      </c>
      <c r="B27" s="33">
        <v>0.81</v>
      </c>
      <c r="C27" s="33">
        <v>0.84</v>
      </c>
      <c r="D27" s="33">
        <v>0.96</v>
      </c>
      <c r="E27" s="36">
        <v>1.17</v>
      </c>
      <c r="G27" s="44"/>
      <c r="H27" s="44"/>
      <c r="I27" s="44"/>
      <c r="J27" s="48"/>
    </row>
    <row r="28" spans="1:10" x14ac:dyDescent="0.25">
      <c r="A28" s="32" t="s">
        <v>37</v>
      </c>
      <c r="B28" s="33">
        <v>24</v>
      </c>
      <c r="C28" s="33">
        <v>26</v>
      </c>
      <c r="D28" s="33">
        <v>47</v>
      </c>
      <c r="E28" s="36">
        <v>120</v>
      </c>
      <c r="G28" s="44"/>
      <c r="H28" s="44"/>
      <c r="I28" s="44"/>
      <c r="J28" s="48"/>
    </row>
    <row r="29" spans="1:10" x14ac:dyDescent="0.25">
      <c r="A29" s="32" t="s">
        <v>38</v>
      </c>
      <c r="B29" s="33">
        <v>471</v>
      </c>
      <c r="C29" s="33">
        <v>487</v>
      </c>
      <c r="D29" s="33">
        <v>560</v>
      </c>
      <c r="E29" s="36">
        <v>674</v>
      </c>
      <c r="G29" s="44"/>
      <c r="H29" s="44"/>
      <c r="I29" s="44"/>
      <c r="J29" s="48"/>
    </row>
    <row r="30" spans="1:10" x14ac:dyDescent="0.25">
      <c r="A30" s="32" t="s">
        <v>54</v>
      </c>
      <c r="B30" s="42">
        <f>(B28*100*2)/B29</f>
        <v>10.19108280254777</v>
      </c>
      <c r="C30" s="42">
        <f t="shared" ref="C30" si="9">(C28*100*2)/C29</f>
        <v>10.677618069815194</v>
      </c>
      <c r="D30" s="42">
        <f t="shared" ref="D30" si="10">(D28*100*2)/D29</f>
        <v>16.785714285714285</v>
      </c>
      <c r="E30" s="41">
        <f t="shared" ref="E30" si="11">(E28*100*2)/E29</f>
        <v>35.608308605341243</v>
      </c>
      <c r="G30" s="45">
        <f>B24/B30</f>
        <v>1.2452411167512691</v>
      </c>
      <c r="H30" s="45">
        <f>C24/C30</f>
        <v>1.1634018155757286</v>
      </c>
      <c r="I30" s="45">
        <f>D24/D30</f>
        <v>1.4297872340425533</v>
      </c>
      <c r="J30" s="45">
        <f>E30/D30</f>
        <v>2.1213460445735208</v>
      </c>
    </row>
    <row r="32" spans="1:10" x14ac:dyDescent="0.25">
      <c r="A32" s="30" t="s">
        <v>31</v>
      </c>
      <c r="B32" s="34" t="s">
        <v>44</v>
      </c>
      <c r="C32" s="30"/>
      <c r="D32" s="30"/>
      <c r="E32" s="30" t="s">
        <v>48</v>
      </c>
      <c r="G32" s="43" t="s">
        <v>32</v>
      </c>
      <c r="H32" s="43" t="s">
        <v>33</v>
      </c>
      <c r="I32" s="43" t="s">
        <v>34</v>
      </c>
      <c r="J32" s="43" t="s">
        <v>58</v>
      </c>
    </row>
    <row r="33" spans="1:12" x14ac:dyDescent="0.25">
      <c r="A33" s="32" t="s">
        <v>39</v>
      </c>
      <c r="B33" s="32" t="s">
        <v>32</v>
      </c>
      <c r="C33" s="32" t="s">
        <v>33</v>
      </c>
      <c r="D33" s="32" t="s">
        <v>34</v>
      </c>
      <c r="E33" s="35" t="s">
        <v>35</v>
      </c>
      <c r="G33" s="49"/>
      <c r="H33" s="49"/>
      <c r="I33" s="49"/>
      <c r="J33" s="50"/>
      <c r="L33" s="46" t="s">
        <v>56</v>
      </c>
    </row>
    <row r="34" spans="1:12" x14ac:dyDescent="0.25">
      <c r="A34" s="32" t="s">
        <v>36</v>
      </c>
      <c r="B34" s="33">
        <v>0.38</v>
      </c>
      <c r="C34" s="33">
        <v>0.5</v>
      </c>
      <c r="D34" s="33">
        <v>0.86</v>
      </c>
      <c r="E34" s="36">
        <v>0.95</v>
      </c>
      <c r="G34" s="49"/>
      <c r="H34" s="49"/>
      <c r="I34" s="49"/>
      <c r="J34" s="50"/>
      <c r="L34" s="47">
        <f>AVERAGE(G43,H43,I43,G49,H49,I49,G55,H55,I55,G61,H61,I61)</f>
        <v>1.2158259213503693</v>
      </c>
    </row>
    <row r="35" spans="1:12" x14ac:dyDescent="0.25">
      <c r="A35" s="32" t="s">
        <v>37</v>
      </c>
      <c r="B35" s="33">
        <v>34</v>
      </c>
      <c r="C35" s="33">
        <v>41</v>
      </c>
      <c r="D35" s="33">
        <v>103</v>
      </c>
      <c r="E35" s="36">
        <v>335</v>
      </c>
      <c r="G35" s="49"/>
      <c r="H35" s="49"/>
      <c r="I35" s="49"/>
      <c r="J35" s="50"/>
      <c r="L35" s="31"/>
    </row>
    <row r="36" spans="1:12" x14ac:dyDescent="0.25">
      <c r="A36" s="32" t="s">
        <v>38</v>
      </c>
      <c r="B36" s="33">
        <v>251</v>
      </c>
      <c r="C36" s="33">
        <v>332</v>
      </c>
      <c r="D36" s="33">
        <v>574</v>
      </c>
      <c r="E36" s="36">
        <v>631</v>
      </c>
      <c r="G36" s="49"/>
      <c r="H36" s="49"/>
      <c r="I36" s="49"/>
      <c r="J36" s="50"/>
      <c r="L36" s="46" t="s">
        <v>57</v>
      </c>
    </row>
    <row r="37" spans="1:12" x14ac:dyDescent="0.25">
      <c r="A37" s="32" t="s">
        <v>50</v>
      </c>
      <c r="B37" s="42">
        <f>(B35*100*2)/B36</f>
        <v>27.091633466135459</v>
      </c>
      <c r="C37" s="42">
        <f t="shared" ref="C37" si="12">(C35*100*2)/C36</f>
        <v>24.698795180722893</v>
      </c>
      <c r="D37" s="42">
        <f t="shared" ref="D37" si="13">(D35*100*2)/D36</f>
        <v>35.88850174216028</v>
      </c>
      <c r="E37" s="41">
        <f t="shared" ref="E37" si="14">(E35*100*2)/E36</f>
        <v>106.18066561014263</v>
      </c>
      <c r="G37" s="49"/>
      <c r="H37" s="49"/>
      <c r="I37" s="49"/>
      <c r="J37" s="45">
        <f>E37/D37</f>
        <v>2.9586263136030033</v>
      </c>
      <c r="L37" s="47">
        <f>AVERAGE(J37,J43,J49,J55,J61)</f>
        <v>2.7801442599059145</v>
      </c>
    </row>
    <row r="38" spans="1:12" x14ac:dyDescent="0.25">
      <c r="G38" s="49"/>
      <c r="H38" s="49"/>
      <c r="I38" s="49"/>
      <c r="J38" s="50"/>
    </row>
    <row r="39" spans="1:12" x14ac:dyDescent="0.25">
      <c r="A39" s="32" t="s">
        <v>40</v>
      </c>
      <c r="B39" s="32" t="s">
        <v>32</v>
      </c>
      <c r="C39" s="32" t="s">
        <v>33</v>
      </c>
      <c r="D39" s="32" t="s">
        <v>34</v>
      </c>
      <c r="E39" s="35" t="s">
        <v>35</v>
      </c>
      <c r="G39" s="49"/>
      <c r="H39" s="49"/>
      <c r="I39" s="49"/>
      <c r="J39" s="50"/>
    </row>
    <row r="40" spans="1:12" x14ac:dyDescent="0.25">
      <c r="A40" s="32" t="s">
        <v>36</v>
      </c>
      <c r="B40" s="33">
        <v>0.44</v>
      </c>
      <c r="C40" s="33">
        <v>0.57999999999999996</v>
      </c>
      <c r="D40" s="33">
        <v>0.86</v>
      </c>
      <c r="E40" s="36">
        <v>0.99</v>
      </c>
      <c r="G40" s="49"/>
      <c r="H40" s="49"/>
      <c r="I40" s="49"/>
      <c r="J40" s="50"/>
    </row>
    <row r="41" spans="1:12" x14ac:dyDescent="0.25">
      <c r="A41" s="32" t="s">
        <v>37</v>
      </c>
      <c r="B41" s="33">
        <v>33</v>
      </c>
      <c r="C41" s="33">
        <v>39</v>
      </c>
      <c r="D41" s="33">
        <v>83</v>
      </c>
      <c r="E41" s="36">
        <v>298</v>
      </c>
      <c r="G41" s="49"/>
      <c r="H41" s="49"/>
      <c r="I41" s="49"/>
      <c r="J41" s="50"/>
    </row>
    <row r="42" spans="1:12" x14ac:dyDescent="0.25">
      <c r="A42" s="32" t="s">
        <v>38</v>
      </c>
      <c r="B42" s="33">
        <v>284</v>
      </c>
      <c r="C42" s="33">
        <v>373</v>
      </c>
      <c r="D42" s="33">
        <v>553</v>
      </c>
      <c r="E42" s="36">
        <v>636</v>
      </c>
      <c r="G42" s="49"/>
      <c r="H42" s="49"/>
      <c r="I42" s="49"/>
      <c r="J42" s="50"/>
    </row>
    <row r="43" spans="1:12" x14ac:dyDescent="0.25">
      <c r="A43" s="32" t="s">
        <v>51</v>
      </c>
      <c r="B43" s="42">
        <f>(B41*100*2)/B42</f>
        <v>23.239436619718308</v>
      </c>
      <c r="C43" s="42">
        <f t="shared" ref="C43" si="15">(C41*100*2)/C42</f>
        <v>20.91152815013405</v>
      </c>
      <c r="D43" s="42">
        <f t="shared" ref="D43" si="16">(D41*100*2)/D42</f>
        <v>30.018083182640144</v>
      </c>
      <c r="E43" s="41">
        <f t="shared" ref="E43" si="17">(E41*100*2)/E42</f>
        <v>93.710691823899367</v>
      </c>
      <c r="G43" s="45">
        <f>B37/B43</f>
        <v>1.1657611976337077</v>
      </c>
      <c r="H43" s="45">
        <f>C37/C43</f>
        <v>1.1811090515909792</v>
      </c>
      <c r="I43" s="45">
        <f>D37/D43</f>
        <v>1.1955627387599177</v>
      </c>
      <c r="J43" s="45">
        <f>E43/D43</f>
        <v>3.1218079866636357</v>
      </c>
    </row>
    <row r="44" spans="1:12" x14ac:dyDescent="0.25">
      <c r="G44" s="49"/>
      <c r="H44" s="49"/>
      <c r="I44" s="49"/>
      <c r="J44" s="50"/>
    </row>
    <row r="45" spans="1:12" x14ac:dyDescent="0.25">
      <c r="A45" s="32" t="s">
        <v>41</v>
      </c>
      <c r="B45" s="32" t="s">
        <v>32</v>
      </c>
      <c r="C45" s="32" t="s">
        <v>33</v>
      </c>
      <c r="D45" s="32" t="s">
        <v>34</v>
      </c>
      <c r="E45" s="35" t="s">
        <v>35</v>
      </c>
      <c r="G45" s="49"/>
      <c r="H45" s="49"/>
      <c r="I45" s="49"/>
      <c r="J45" s="50"/>
    </row>
    <row r="46" spans="1:12" x14ac:dyDescent="0.25">
      <c r="A46" s="32" t="s">
        <v>36</v>
      </c>
      <c r="B46" s="33">
        <v>0.54</v>
      </c>
      <c r="C46" s="33">
        <v>0.69</v>
      </c>
      <c r="D46" s="33">
        <v>0.9</v>
      </c>
      <c r="E46" s="36">
        <v>1.04</v>
      </c>
      <c r="G46" s="49"/>
      <c r="H46" s="49"/>
      <c r="I46" s="49"/>
      <c r="J46" s="50"/>
    </row>
    <row r="47" spans="1:12" x14ac:dyDescent="0.25">
      <c r="A47" s="32" t="s">
        <v>37</v>
      </c>
      <c r="B47" s="33">
        <v>31</v>
      </c>
      <c r="C47" s="33">
        <v>36</v>
      </c>
      <c r="D47" s="33">
        <v>76</v>
      </c>
      <c r="E47" s="36">
        <v>247</v>
      </c>
      <c r="G47" s="49"/>
      <c r="H47" s="49"/>
      <c r="I47" s="49"/>
      <c r="J47" s="50"/>
    </row>
    <row r="48" spans="1:12" x14ac:dyDescent="0.25">
      <c r="A48" s="32" t="s">
        <v>38</v>
      </c>
      <c r="B48" s="33">
        <v>333</v>
      </c>
      <c r="C48" s="33">
        <v>429</v>
      </c>
      <c r="D48" s="33">
        <v>562</v>
      </c>
      <c r="E48" s="36">
        <v>652</v>
      </c>
      <c r="G48" s="49"/>
      <c r="H48" s="49"/>
      <c r="I48" s="49"/>
      <c r="J48" s="50"/>
    </row>
    <row r="49" spans="1:12" x14ac:dyDescent="0.25">
      <c r="A49" s="32" t="s">
        <v>52</v>
      </c>
      <c r="B49" s="42">
        <f>(B47*100*2)/B48</f>
        <v>18.618618618618619</v>
      </c>
      <c r="C49" s="42">
        <f t="shared" ref="C49" si="18">(C47*100*2)/C48</f>
        <v>16.783216783216783</v>
      </c>
      <c r="D49" s="42">
        <f t="shared" ref="D49" si="19">(D47*100*2)/D48</f>
        <v>27.046263345195729</v>
      </c>
      <c r="E49" s="41">
        <f t="shared" ref="E49" si="20">(E47*100*2)/E48</f>
        <v>75.766871165644176</v>
      </c>
      <c r="G49" s="45">
        <f>B43/B49</f>
        <v>1.2481826442526123</v>
      </c>
      <c r="H49" s="45">
        <f>C43/C49</f>
        <v>1.2459785522788205</v>
      </c>
      <c r="I49" s="45">
        <f>D43/D49</f>
        <v>1.1098791282002474</v>
      </c>
      <c r="J49" s="45">
        <f>E49/D49</f>
        <v>2.8013803680981595</v>
      </c>
    </row>
    <row r="50" spans="1:12" x14ac:dyDescent="0.25">
      <c r="G50" s="49"/>
      <c r="H50" s="49"/>
      <c r="I50" s="49"/>
      <c r="J50" s="50"/>
    </row>
    <row r="51" spans="1:12" x14ac:dyDescent="0.25">
      <c r="A51" s="32" t="s">
        <v>42</v>
      </c>
      <c r="B51" s="32" t="s">
        <v>32</v>
      </c>
      <c r="C51" s="32" t="s">
        <v>33</v>
      </c>
      <c r="D51" s="32" t="s">
        <v>34</v>
      </c>
      <c r="E51" s="35" t="s">
        <v>35</v>
      </c>
      <c r="G51" s="49"/>
      <c r="H51" s="49"/>
      <c r="I51" s="49"/>
      <c r="J51" s="50"/>
    </row>
    <row r="52" spans="1:12" x14ac:dyDescent="0.25">
      <c r="A52" s="32" t="s">
        <v>36</v>
      </c>
      <c r="B52" s="33">
        <v>0.66</v>
      </c>
      <c r="C52" s="33">
        <v>0.81</v>
      </c>
      <c r="D52" s="33">
        <v>0.9</v>
      </c>
      <c r="E52" s="36">
        <v>1.04</v>
      </c>
      <c r="G52" s="49"/>
      <c r="H52" s="49"/>
      <c r="I52" s="49"/>
      <c r="J52" s="50"/>
    </row>
    <row r="53" spans="1:12" x14ac:dyDescent="0.25">
      <c r="A53" s="32" t="s">
        <v>37</v>
      </c>
      <c r="B53" s="33">
        <v>30</v>
      </c>
      <c r="C53" s="33">
        <v>37</v>
      </c>
      <c r="D53" s="33">
        <v>53</v>
      </c>
      <c r="E53" s="36">
        <v>165</v>
      </c>
      <c r="G53" s="49"/>
      <c r="H53" s="49"/>
      <c r="I53" s="49"/>
      <c r="J53" s="50"/>
    </row>
    <row r="54" spans="1:12" x14ac:dyDescent="0.25">
      <c r="A54" s="32" t="s">
        <v>38</v>
      </c>
      <c r="B54" s="33">
        <v>390</v>
      </c>
      <c r="C54" s="33">
        <v>483</v>
      </c>
      <c r="D54" s="33">
        <v>536</v>
      </c>
      <c r="E54" s="36">
        <v>628</v>
      </c>
      <c r="G54" s="49"/>
      <c r="H54" s="49"/>
      <c r="I54" s="49"/>
      <c r="J54" s="50"/>
    </row>
    <row r="55" spans="1:12" x14ac:dyDescent="0.25">
      <c r="A55" s="32" t="s">
        <v>53</v>
      </c>
      <c r="B55" s="42">
        <f>(B53*100*2)/B54</f>
        <v>15.384615384615385</v>
      </c>
      <c r="C55" s="42">
        <f t="shared" ref="C55" si="21">(C53*100*2)/C54</f>
        <v>15.320910973084887</v>
      </c>
      <c r="D55" s="42">
        <f t="shared" ref="D55" si="22">(D53*100*2)/D54</f>
        <v>19.776119402985074</v>
      </c>
      <c r="E55" s="41">
        <f t="shared" ref="E55" si="23">(E53*100*2)/E54</f>
        <v>52.547770700636946</v>
      </c>
      <c r="G55" s="45">
        <f>B49/B55</f>
        <v>1.2102102102102101</v>
      </c>
      <c r="H55" s="45">
        <f>C49/C55</f>
        <v>1.0954450954450954</v>
      </c>
      <c r="I55" s="45">
        <f>D49/D55</f>
        <v>1.3676223729268784</v>
      </c>
      <c r="J55" s="45">
        <f>E55/D55</f>
        <v>2.6571325561831514</v>
      </c>
    </row>
    <row r="56" spans="1:12" x14ac:dyDescent="0.25">
      <c r="G56" s="49"/>
      <c r="H56" s="49"/>
      <c r="I56" s="49"/>
      <c r="J56" s="50"/>
    </row>
    <row r="57" spans="1:12" x14ac:dyDescent="0.25">
      <c r="A57" s="32" t="s">
        <v>43</v>
      </c>
      <c r="B57" s="39" t="s">
        <v>32</v>
      </c>
      <c r="C57" s="39" t="s">
        <v>33</v>
      </c>
      <c r="D57" s="39" t="s">
        <v>34</v>
      </c>
      <c r="E57" s="35" t="s">
        <v>35</v>
      </c>
      <c r="G57" s="49"/>
      <c r="H57" s="49"/>
      <c r="I57" s="49"/>
      <c r="J57" s="50"/>
    </row>
    <row r="58" spans="1:12" x14ac:dyDescent="0.25">
      <c r="A58" s="32" t="s">
        <v>36</v>
      </c>
      <c r="B58" s="40">
        <v>0.82</v>
      </c>
      <c r="C58" s="40">
        <v>0.84</v>
      </c>
      <c r="D58" s="40">
        <v>0.86</v>
      </c>
      <c r="E58" s="36">
        <v>1.01</v>
      </c>
      <c r="G58" s="49"/>
      <c r="H58" s="49"/>
      <c r="I58" s="49"/>
      <c r="J58" s="50"/>
    </row>
    <row r="59" spans="1:12" x14ac:dyDescent="0.25">
      <c r="A59" s="32" t="s">
        <v>37</v>
      </c>
      <c r="B59" s="40">
        <v>31</v>
      </c>
      <c r="C59" s="40">
        <v>32</v>
      </c>
      <c r="D59" s="40">
        <v>35</v>
      </c>
      <c r="E59" s="36">
        <v>96</v>
      </c>
      <c r="G59" s="49"/>
      <c r="H59" s="49"/>
      <c r="I59" s="49"/>
      <c r="J59" s="50"/>
    </row>
    <row r="60" spans="1:12" x14ac:dyDescent="0.25">
      <c r="A60" s="32" t="s">
        <v>38</v>
      </c>
      <c r="B60" s="40">
        <v>478</v>
      </c>
      <c r="C60" s="40">
        <v>487</v>
      </c>
      <c r="D60" s="40">
        <v>502</v>
      </c>
      <c r="E60" s="36">
        <v>583</v>
      </c>
      <c r="G60" s="49"/>
      <c r="H60" s="49"/>
      <c r="I60" s="49"/>
      <c r="J60" s="50"/>
    </row>
    <row r="61" spans="1:12" x14ac:dyDescent="0.25">
      <c r="A61" s="32" t="s">
        <v>54</v>
      </c>
      <c r="B61" s="42">
        <f>(B59*100*2)/B60</f>
        <v>12.97071129707113</v>
      </c>
      <c r="C61" s="42">
        <f t="shared" ref="C61" si="24">(C59*100*2)/C60</f>
        <v>13.141683778234086</v>
      </c>
      <c r="D61" s="42">
        <f t="shared" ref="D61" si="25">(D59*100*2)/D60</f>
        <v>13.944223107569721</v>
      </c>
      <c r="E61" s="41">
        <f t="shared" ref="E61" si="26">(E59*100*2)/E60</f>
        <v>32.933104631217837</v>
      </c>
      <c r="G61" s="45">
        <f>B55/B61</f>
        <v>1.186104218362283</v>
      </c>
      <c r="H61" s="45">
        <f>C55/C61</f>
        <v>1.1658255693581783</v>
      </c>
      <c r="I61" s="45">
        <f>D55/D61</f>
        <v>1.4182302771855011</v>
      </c>
      <c r="J61" s="45">
        <f>E61/D61</f>
        <v>2.3617740749816218</v>
      </c>
    </row>
    <row r="63" spans="1:12" x14ac:dyDescent="0.25">
      <c r="A63" s="30" t="s">
        <v>31</v>
      </c>
      <c r="B63" s="34" t="s">
        <v>45</v>
      </c>
      <c r="C63" s="30"/>
      <c r="D63" s="30"/>
      <c r="E63" s="30" t="s">
        <v>49</v>
      </c>
      <c r="G63" s="43" t="s">
        <v>32</v>
      </c>
      <c r="H63" s="43" t="s">
        <v>33</v>
      </c>
      <c r="I63" s="43" t="s">
        <v>34</v>
      </c>
      <c r="J63" s="43" t="s">
        <v>58</v>
      </c>
    </row>
    <row r="64" spans="1:12" x14ac:dyDescent="0.25">
      <c r="A64" s="32" t="s">
        <v>39</v>
      </c>
      <c r="B64" s="32" t="s">
        <v>32</v>
      </c>
      <c r="C64" s="32" t="s">
        <v>33</v>
      </c>
      <c r="D64" s="32" t="s">
        <v>34</v>
      </c>
      <c r="E64" s="35" t="s">
        <v>35</v>
      </c>
      <c r="G64" s="49"/>
      <c r="H64" s="49"/>
      <c r="I64" s="49"/>
      <c r="J64" s="50"/>
      <c r="L64" s="46" t="s">
        <v>56</v>
      </c>
    </row>
    <row r="65" spans="1:12" x14ac:dyDescent="0.25">
      <c r="A65" s="32" t="s">
        <v>36</v>
      </c>
      <c r="B65" s="33">
        <v>0.39</v>
      </c>
      <c r="C65" s="33">
        <v>0.52</v>
      </c>
      <c r="D65" s="33">
        <v>0.69</v>
      </c>
      <c r="E65" s="36">
        <v>0.84</v>
      </c>
      <c r="G65" s="49"/>
      <c r="H65" s="49"/>
      <c r="I65" s="49"/>
      <c r="J65" s="50"/>
      <c r="L65" s="47">
        <f>AVERAGE(G74,H74,I74,G80,H80,I80,G86,H86,I86,G92)</f>
        <v>1.1018070626086935</v>
      </c>
    </row>
    <row r="66" spans="1:12" x14ac:dyDescent="0.25">
      <c r="A66" s="32" t="s">
        <v>37</v>
      </c>
      <c r="B66" s="33">
        <v>47</v>
      </c>
      <c r="C66" s="33">
        <v>61</v>
      </c>
      <c r="D66" s="33">
        <v>94</v>
      </c>
      <c r="E66" s="36">
        <v>336</v>
      </c>
      <c r="G66" s="49"/>
      <c r="H66" s="49"/>
      <c r="I66" s="49"/>
      <c r="J66" s="50"/>
      <c r="L66" s="31"/>
    </row>
    <row r="67" spans="1:12" x14ac:dyDescent="0.25">
      <c r="A67" s="32" t="s">
        <v>38</v>
      </c>
      <c r="B67" s="33">
        <v>261</v>
      </c>
      <c r="C67" s="33">
        <v>343</v>
      </c>
      <c r="D67" s="33">
        <v>454</v>
      </c>
      <c r="E67" s="36">
        <v>562</v>
      </c>
      <c r="G67" s="49"/>
      <c r="H67" s="49"/>
      <c r="I67" s="49"/>
      <c r="J67" s="50"/>
      <c r="L67" s="46" t="s">
        <v>57</v>
      </c>
    </row>
    <row r="68" spans="1:12" x14ac:dyDescent="0.25">
      <c r="A68" s="32" t="s">
        <v>50</v>
      </c>
      <c r="B68" s="42">
        <f>(B66*100*2)/B67</f>
        <v>36.015325670498086</v>
      </c>
      <c r="C68" s="42">
        <f t="shared" ref="C68" si="27">(C66*100*2)/C67</f>
        <v>35.568513119533527</v>
      </c>
      <c r="D68" s="42">
        <f t="shared" ref="D68" si="28">(D66*100*2)/D67</f>
        <v>41.409691629955944</v>
      </c>
      <c r="E68" s="41">
        <f t="shared" ref="E68" si="29">(E66*100*2)/E67</f>
        <v>119.57295373665481</v>
      </c>
      <c r="G68" s="49"/>
      <c r="H68" s="49"/>
      <c r="I68" s="49"/>
      <c r="J68" s="45">
        <f>E68/D68</f>
        <v>2.8875596274702815</v>
      </c>
      <c r="L68" s="47">
        <f>AVERAGE(J68,J74,J80,J86)</f>
        <v>2.6462192793034918</v>
      </c>
    </row>
    <row r="69" spans="1:12" x14ac:dyDescent="0.25">
      <c r="G69" s="49"/>
      <c r="H69" s="49"/>
      <c r="I69" s="49"/>
      <c r="J69" s="50"/>
    </row>
    <row r="70" spans="1:12" x14ac:dyDescent="0.25">
      <c r="A70" s="32" t="s">
        <v>40</v>
      </c>
      <c r="B70" s="32" t="s">
        <v>32</v>
      </c>
      <c r="C70" s="32" t="s">
        <v>33</v>
      </c>
      <c r="D70" s="32" t="s">
        <v>34</v>
      </c>
      <c r="E70" s="35" t="s">
        <v>35</v>
      </c>
      <c r="G70" s="49"/>
      <c r="H70" s="49"/>
      <c r="I70" s="49"/>
      <c r="J70" s="50"/>
    </row>
    <row r="71" spans="1:12" x14ac:dyDescent="0.25">
      <c r="A71" s="32" t="s">
        <v>36</v>
      </c>
      <c r="B71" s="33">
        <v>0.46</v>
      </c>
      <c r="C71" s="33">
        <v>0.61</v>
      </c>
      <c r="D71" s="33">
        <v>0.73</v>
      </c>
      <c r="E71" s="36">
        <v>0.88</v>
      </c>
      <c r="G71" s="49"/>
      <c r="H71" s="49"/>
      <c r="I71" s="49"/>
      <c r="J71" s="50"/>
    </row>
    <row r="72" spans="1:12" x14ac:dyDescent="0.25">
      <c r="A72" s="32" t="s">
        <v>37</v>
      </c>
      <c r="B72" s="33">
        <v>47</v>
      </c>
      <c r="C72" s="33">
        <v>62</v>
      </c>
      <c r="D72" s="33">
        <v>78</v>
      </c>
      <c r="E72" s="36">
        <v>294</v>
      </c>
      <c r="G72" s="49"/>
      <c r="H72" s="49"/>
      <c r="I72" s="49"/>
      <c r="J72" s="50"/>
    </row>
    <row r="73" spans="1:12" x14ac:dyDescent="0.25">
      <c r="A73" s="32" t="s">
        <v>38</v>
      </c>
      <c r="B73" s="33">
        <v>299</v>
      </c>
      <c r="C73" s="33">
        <v>395</v>
      </c>
      <c r="D73" s="33">
        <v>470</v>
      </c>
      <c r="E73" s="36">
        <v>565</v>
      </c>
      <c r="G73" s="49"/>
      <c r="H73" s="49"/>
      <c r="I73" s="49"/>
      <c r="J73" s="50"/>
    </row>
    <row r="74" spans="1:12" x14ac:dyDescent="0.25">
      <c r="A74" s="32" t="s">
        <v>51</v>
      </c>
      <c r="B74" s="42">
        <f>(B72*100*2)/B73</f>
        <v>31.438127090301002</v>
      </c>
      <c r="C74" s="42">
        <f t="shared" ref="C74" si="30">(C72*100*2)/C73</f>
        <v>31.39240506329114</v>
      </c>
      <c r="D74" s="42">
        <f t="shared" ref="D74" si="31">(D72*100*2)/D73</f>
        <v>33.191489361702125</v>
      </c>
      <c r="E74" s="41">
        <f t="shared" ref="E74" si="32">(E72*100*2)/E73</f>
        <v>104.07079646017699</v>
      </c>
      <c r="G74" s="45">
        <f>B68/B74</f>
        <v>1.1455938697318009</v>
      </c>
      <c r="H74" s="45">
        <f>C68/C74</f>
        <v>1.1330292485657858</v>
      </c>
      <c r="I74" s="45">
        <f>D68/D74</f>
        <v>1.2475996837230316</v>
      </c>
      <c r="J74" s="45">
        <f>E74/D74</f>
        <v>3.1354663036078967</v>
      </c>
    </row>
    <row r="75" spans="1:12" x14ac:dyDescent="0.25">
      <c r="G75" s="49"/>
      <c r="H75" s="49"/>
      <c r="I75" s="49"/>
      <c r="J75" s="50"/>
    </row>
    <row r="76" spans="1:12" x14ac:dyDescent="0.25">
      <c r="A76" s="32" t="s">
        <v>41</v>
      </c>
      <c r="B76" s="32" t="s">
        <v>32</v>
      </c>
      <c r="C76" s="32" t="s">
        <v>33</v>
      </c>
      <c r="D76" s="32" t="s">
        <v>34</v>
      </c>
      <c r="E76" s="35" t="s">
        <v>35</v>
      </c>
      <c r="G76" s="49"/>
      <c r="H76" s="49"/>
      <c r="I76" s="49"/>
      <c r="J76" s="50"/>
    </row>
    <row r="77" spans="1:12" x14ac:dyDescent="0.25">
      <c r="A77" s="32" t="s">
        <v>36</v>
      </c>
      <c r="B77" s="33">
        <v>0.56999999999999995</v>
      </c>
      <c r="C77" s="33">
        <v>0.73</v>
      </c>
      <c r="D77" s="33">
        <v>0.81</v>
      </c>
      <c r="E77" s="36">
        <v>0.88</v>
      </c>
      <c r="G77" s="49"/>
      <c r="H77" s="49"/>
      <c r="I77" s="49"/>
      <c r="J77" s="50"/>
    </row>
    <row r="78" spans="1:12" x14ac:dyDescent="0.25">
      <c r="A78" s="32" t="s">
        <v>37</v>
      </c>
      <c r="B78" s="33">
        <v>44</v>
      </c>
      <c r="C78" s="33">
        <v>60</v>
      </c>
      <c r="D78" s="33">
        <v>74</v>
      </c>
      <c r="E78" s="36">
        <v>207</v>
      </c>
      <c r="G78" s="49"/>
      <c r="H78" s="49"/>
      <c r="I78" s="49"/>
      <c r="J78" s="50"/>
    </row>
    <row r="79" spans="1:12" x14ac:dyDescent="0.25">
      <c r="A79" s="32" t="s">
        <v>38</v>
      </c>
      <c r="B79" s="33">
        <v>352</v>
      </c>
      <c r="C79" s="33">
        <v>454</v>
      </c>
      <c r="D79" s="33">
        <v>500</v>
      </c>
      <c r="E79" s="36">
        <v>548</v>
      </c>
      <c r="G79" s="49"/>
      <c r="H79" s="49"/>
      <c r="I79" s="49"/>
      <c r="J79" s="50"/>
    </row>
    <row r="80" spans="1:12" x14ac:dyDescent="0.25">
      <c r="A80" s="32" t="s">
        <v>52</v>
      </c>
      <c r="B80" s="42">
        <f>(B78*100*2)/B79</f>
        <v>25</v>
      </c>
      <c r="C80" s="42">
        <f t="shared" ref="C80" si="33">(C78*100*2)/C79</f>
        <v>26.431718061674008</v>
      </c>
      <c r="D80" s="42">
        <f t="shared" ref="D80" si="34">(D78*100*2)/D79</f>
        <v>29.6</v>
      </c>
      <c r="E80" s="41">
        <f t="shared" ref="E80" si="35">(E78*100*2)/E79</f>
        <v>75.547445255474457</v>
      </c>
      <c r="G80" s="45">
        <f>B74/B80</f>
        <v>1.2575250836120402</v>
      </c>
      <c r="H80" s="45">
        <f>C74/C80</f>
        <v>1.1876793248945148</v>
      </c>
      <c r="I80" s="45">
        <f>D74/D80</f>
        <v>1.1213341000575041</v>
      </c>
      <c r="J80" s="45">
        <f>E80/D80</f>
        <v>2.5522785559281909</v>
      </c>
    </row>
    <row r="81" spans="1:10" x14ac:dyDescent="0.25">
      <c r="G81" s="49"/>
      <c r="H81" s="49"/>
      <c r="I81" s="49"/>
      <c r="J81" s="50"/>
    </row>
    <row r="82" spans="1:10" x14ac:dyDescent="0.25">
      <c r="A82" s="32" t="s">
        <v>42</v>
      </c>
      <c r="B82" s="32" t="s">
        <v>32</v>
      </c>
      <c r="C82" s="32" t="s">
        <v>33</v>
      </c>
      <c r="D82" s="32" t="s">
        <v>34</v>
      </c>
      <c r="E82" s="35" t="s">
        <v>35</v>
      </c>
      <c r="G82" s="49"/>
      <c r="H82" s="49"/>
      <c r="I82" s="49"/>
      <c r="J82" s="50"/>
    </row>
    <row r="83" spans="1:10" x14ac:dyDescent="0.25">
      <c r="A83" s="32" t="s">
        <v>36</v>
      </c>
      <c r="B83" s="33">
        <v>0.69</v>
      </c>
      <c r="C83" s="33">
        <v>0.82</v>
      </c>
      <c r="D83" s="33">
        <v>0.82</v>
      </c>
      <c r="E83" s="36">
        <v>0.88</v>
      </c>
      <c r="G83" s="49"/>
      <c r="H83" s="49"/>
      <c r="I83" s="49"/>
      <c r="J83" s="50"/>
    </row>
    <row r="84" spans="1:10" x14ac:dyDescent="0.25">
      <c r="A84" s="32" t="s">
        <v>37</v>
      </c>
      <c r="B84" s="33">
        <v>43</v>
      </c>
      <c r="C84" s="33">
        <v>67</v>
      </c>
      <c r="D84" s="33">
        <v>67</v>
      </c>
      <c r="E84" s="36">
        <v>146</v>
      </c>
      <c r="G84" s="49"/>
      <c r="H84" s="49"/>
      <c r="I84" s="49"/>
      <c r="J84" s="50"/>
    </row>
    <row r="85" spans="1:10" x14ac:dyDescent="0.25">
      <c r="A85" s="32" t="s">
        <v>38</v>
      </c>
      <c r="B85" s="33">
        <v>410</v>
      </c>
      <c r="C85" s="33">
        <v>486</v>
      </c>
      <c r="D85" s="33">
        <v>486</v>
      </c>
      <c r="E85" s="36">
        <v>527</v>
      </c>
      <c r="G85" s="49"/>
      <c r="H85" s="49"/>
      <c r="I85" s="49"/>
      <c r="J85" s="50"/>
    </row>
    <row r="86" spans="1:10" x14ac:dyDescent="0.25">
      <c r="A86" s="32" t="s">
        <v>53</v>
      </c>
      <c r="B86" s="42">
        <f>(B84*100*2)/B85</f>
        <v>20.975609756097562</v>
      </c>
      <c r="C86" s="42">
        <v>28</v>
      </c>
      <c r="D86" s="42">
        <f t="shared" ref="D86" si="36">(D84*100*2)/D85</f>
        <v>27.572016460905349</v>
      </c>
      <c r="E86" s="41">
        <f t="shared" ref="E86" si="37">(E84*100*2)/E85</f>
        <v>55.407969639468689</v>
      </c>
      <c r="G86" s="45">
        <f>B80/B86</f>
        <v>1.191860465116279</v>
      </c>
      <c r="H86" s="45">
        <f>C80/C86</f>
        <v>0.94398993077407167</v>
      </c>
      <c r="I86" s="45">
        <f>D80/D86</f>
        <v>1.0735522388059702</v>
      </c>
      <c r="J86" s="45">
        <f>E86/D86</f>
        <v>2.0095726302075958</v>
      </c>
    </row>
    <row r="87" spans="1:10" x14ac:dyDescent="0.25">
      <c r="G87" s="49"/>
      <c r="H87" s="49"/>
      <c r="I87" s="49"/>
      <c r="J87" s="50"/>
    </row>
    <row r="88" spans="1:10" x14ac:dyDescent="0.25">
      <c r="A88" s="32" t="s">
        <v>43</v>
      </c>
      <c r="B88" s="39" t="s">
        <v>32</v>
      </c>
      <c r="C88" s="38" t="s">
        <v>33</v>
      </c>
      <c r="D88" s="38" t="s">
        <v>34</v>
      </c>
      <c r="E88" s="35" t="s">
        <v>35</v>
      </c>
      <c r="G88" s="49"/>
      <c r="H88" s="49"/>
      <c r="I88" s="49"/>
      <c r="J88" s="50"/>
    </row>
    <row r="89" spans="1:10" x14ac:dyDescent="0.25">
      <c r="A89" s="32" t="s">
        <v>36</v>
      </c>
      <c r="B89" s="40">
        <v>0.8</v>
      </c>
      <c r="C89" s="37">
        <v>0.84</v>
      </c>
      <c r="D89" s="37"/>
      <c r="E89" s="36">
        <v>0.83</v>
      </c>
      <c r="G89" s="49"/>
      <c r="H89" s="49"/>
      <c r="I89" s="49"/>
      <c r="J89" s="50"/>
    </row>
    <row r="90" spans="1:10" x14ac:dyDescent="0.25">
      <c r="A90" s="32" t="s">
        <v>37</v>
      </c>
      <c r="B90" s="40">
        <v>69</v>
      </c>
      <c r="C90" s="37"/>
      <c r="D90" s="37"/>
      <c r="E90" s="36">
        <v>79</v>
      </c>
      <c r="G90" s="49"/>
      <c r="H90" s="49"/>
      <c r="I90" s="49"/>
      <c r="J90" s="50"/>
    </row>
    <row r="91" spans="1:10" x14ac:dyDescent="0.25">
      <c r="A91" s="32" t="s">
        <v>38</v>
      </c>
      <c r="B91" s="40">
        <v>471</v>
      </c>
      <c r="C91" s="37"/>
      <c r="D91" s="37"/>
      <c r="E91" s="36">
        <v>480</v>
      </c>
      <c r="G91" s="49"/>
      <c r="H91" s="49"/>
      <c r="I91" s="49"/>
      <c r="J91" s="50"/>
    </row>
    <row r="92" spans="1:10" x14ac:dyDescent="0.25">
      <c r="A92" s="32" t="s">
        <v>54</v>
      </c>
      <c r="B92" s="42">
        <f>(B90*100*2)/B91</f>
        <v>29.29936305732484</v>
      </c>
      <c r="C92" s="42" t="e">
        <f t="shared" ref="C92" si="38">(C90*100*2)/C91</f>
        <v>#DIV/0!</v>
      </c>
      <c r="D92" s="42" t="e">
        <f t="shared" ref="D92" si="39">(D90*100*2)/D91</f>
        <v>#DIV/0!</v>
      </c>
      <c r="E92" s="41">
        <f t="shared" ref="E92" si="40">(E90*100*2)/E91</f>
        <v>32.916666666666664</v>
      </c>
      <c r="G92" s="45">
        <f>B86/B92</f>
        <v>0.71590668080593856</v>
      </c>
      <c r="H92" s="45" t="e">
        <f>C86/C92</f>
        <v>#DIV/0!</v>
      </c>
      <c r="I92" s="45" t="e">
        <f>D86/D92</f>
        <v>#DIV/0!</v>
      </c>
      <c r="J92" s="45" t="e">
        <f>E92/D92</f>
        <v>#DIV/0!</v>
      </c>
    </row>
  </sheetData>
  <sheetProtection sheet="1" objects="1" scenarios="1"/>
  <mergeCells count="1">
    <mergeCell ref="G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A73AC803125C4E9F872F694F7C7C0D" ma:contentTypeVersion="9" ma:contentTypeDescription="Crée un document." ma:contentTypeScope="" ma:versionID="31a28c477e01b68962b7880655cb5742">
  <xsd:schema xmlns:xsd="http://www.w3.org/2001/XMLSchema" xmlns:xs="http://www.w3.org/2001/XMLSchema" xmlns:p="http://schemas.microsoft.com/office/2006/metadata/properties" xmlns:ns2="f90052ea-1ff2-453a-81d9-84603fd24bc3" targetNamespace="http://schemas.microsoft.com/office/2006/metadata/properties" ma:root="true" ma:fieldsID="9ad44769ef4efc48ce3c56993388b33d" ns2:_="">
    <xsd:import namespace="f90052ea-1ff2-453a-81d9-84603fd24b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052ea-1ff2-453a-81d9-84603fd24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EA944-7F2A-44F0-B9ED-86A5F1728887}"/>
</file>

<file path=customXml/itemProps2.xml><?xml version="1.0" encoding="utf-8"?>
<ds:datastoreItem xmlns:ds="http://schemas.openxmlformats.org/officeDocument/2006/customXml" ds:itemID="{ECDB8FC0-467B-457D-9C2B-5F954F6530D2}"/>
</file>

<file path=customXml/itemProps3.xml><?xml version="1.0" encoding="utf-8"?>
<ds:datastoreItem xmlns:ds="http://schemas.openxmlformats.org/officeDocument/2006/customXml" ds:itemID="{8EF5F422-E7BF-4644-BC87-9183BC3FC61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Conso Mission FA18-C</vt:lpstr>
      <vt:lpstr>Mesure prot2</vt:lpstr>
      <vt:lpstr>Mesure 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Valero</dc:creator>
  <cp:lastModifiedBy>Daniel Valero</cp:lastModifiedBy>
  <dcterms:created xsi:type="dcterms:W3CDTF">2021-09-01T18:41:00Z</dcterms:created>
  <dcterms:modified xsi:type="dcterms:W3CDTF">2022-06-16T19:16:34Z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0x0101007CA73AC803125C4E9F872F694F7C7C0D</vt:lpwstr>
  </property>
</Properties>
</file>